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https://pqengghk-my.sharepoint.com/personal/patrick_slater_edgeelectrons_com/Documents/Email attachments from Flow/"/>
    </mc:Choice>
  </mc:AlternateContent>
  <xr:revisionPtr revIDLastSave="6" documentId="8_{197FFF7D-EA1D-497F-81E3-C9D6FD9B01BC}" xr6:coauthVersionLast="45" xr6:coauthVersionMax="45" xr10:uidLastSave="{3BD8C588-68B4-4AEA-AAAD-1CDBC667FDED}"/>
  <workbookProtection workbookAlgorithmName="SHA-512" workbookHashValue="rY4GdDbpVot/5LyAyk71g+whfbBGjEojMVMgIkDgGCbsK0hwHEphAvHTMSYHZIhqmD8FeM/wYD8jMiB3yv+YQQ==" workbookSaltValue="GLGDtysXcqFfO6SacmNfBg==" workbookSpinCount="100000" lockStructure="1"/>
  <bookViews>
    <workbookView xWindow="-98" yWindow="-98" windowWidth="24196" windowHeight="13695" tabRatio="849" xr2:uid="{00000000-000D-0000-FFFF-FFFF00000000}"/>
  </bookViews>
  <sheets>
    <sheet name="EdgeIQ Calculator" sheetId="13" r:id="rId1"/>
    <sheet name="Savings" sheetId="14" state="hidden" r:id="rId2"/>
    <sheet name="Inputs" sheetId="1" state="hidden" r:id="rId3"/>
    <sheet name="Power Flows" sheetId="7" state="hidden" r:id="rId4"/>
    <sheet name="Power Flows - Summary" sheetId="9" state="hidden" r:id="rId5"/>
    <sheet name="Financials" sheetId="3" state="hidden" r:id="rId6"/>
    <sheet name="Protection Calculation" sheetId="11" state="hidden" r:id="rId7"/>
    <sheet name="Profiles" sheetId="8" state="hidden" r:id="rId8"/>
    <sheet name="Reference Tables" sheetId="12" state="hidden" r:id="rId9"/>
    <sheet name="Other Tariff Sources" sheetId="6" state="hidden" r:id="rId10"/>
    <sheet name="DRM" sheetId="15" state="hidden" r:id="rId11"/>
  </sheets>
  <definedNames>
    <definedName name="_8mw20mw" localSheetId="1">#REF!</definedName>
    <definedName name="_8mw20mw">#REF!</definedName>
    <definedName name="rownum" localSheetId="5">#REF!</definedName>
    <definedName name="rownum" localSheetId="2">#REF!</definedName>
    <definedName name="rownum" localSheetId="6">#REF!</definedName>
    <definedName name="rownum">#REF!</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26" i="13" l="1"/>
  <c r="D39" i="13"/>
  <c r="AK203" i="7" l="1"/>
  <c r="AJ203" i="7"/>
  <c r="AK173" i="7"/>
  <c r="AJ173" i="7"/>
  <c r="AK112" i="7"/>
  <c r="AJ112" i="7"/>
  <c r="O9" i="7"/>
  <c r="O8" i="7"/>
  <c r="B27" i="1"/>
  <c r="B26" i="1" l="1"/>
  <c r="D20" i="13" l="1"/>
  <c r="B23" i="1"/>
  <c r="B36" i="1" l="1"/>
  <c r="C6" i="14" s="1"/>
  <c r="D6" i="14" s="1"/>
  <c r="C5" i="11"/>
  <c r="C11" i="11" s="1"/>
  <c r="C6" i="11"/>
  <c r="C56" i="8"/>
  <c r="B12" i="1"/>
  <c r="C27" i="6"/>
  <c r="C5" i="6"/>
  <c r="C28" i="6"/>
  <c r="C6" i="6" s="1"/>
  <c r="C7" i="6"/>
  <c r="C8" i="6"/>
  <c r="C31" i="6"/>
  <c r="C9" i="6" s="1"/>
  <c r="C10" i="6"/>
  <c r="C33" i="6"/>
  <c r="C11" i="6"/>
  <c r="C12" i="6"/>
  <c r="H13" i="3"/>
  <c r="A45" i="1"/>
  <c r="B45" i="1"/>
  <c r="E9" i="12"/>
  <c r="E5" i="12"/>
  <c r="B15" i="1"/>
  <c r="B13" i="1"/>
  <c r="D108" i="7" s="1"/>
  <c r="C108" i="7" s="1"/>
  <c r="C229" i="7" s="1"/>
  <c r="B10" i="1"/>
  <c r="H5" i="8" s="1"/>
  <c r="B17" i="1"/>
  <c r="B13" i="12" s="1"/>
  <c r="H4" i="8"/>
  <c r="G4" i="8"/>
  <c r="F4" i="8"/>
  <c r="B5" i="1"/>
  <c r="B4" i="1"/>
  <c r="B9" i="1"/>
  <c r="D18" i="7"/>
  <c r="C18" i="7" s="1"/>
  <c r="C139" i="7" s="1"/>
  <c r="E4" i="8"/>
  <c r="C33" i="3"/>
  <c r="I12" i="12"/>
  <c r="H12" i="12"/>
  <c r="G12" i="12"/>
  <c r="F12" i="12"/>
  <c r="E12" i="12"/>
  <c r="D12" i="12"/>
  <c r="C12" i="12"/>
  <c r="J136" i="7"/>
  <c r="J135" i="7"/>
  <c r="J134" i="7"/>
  <c r="J133" i="7"/>
  <c r="J132" i="7"/>
  <c r="J131" i="7"/>
  <c r="J130" i="7"/>
  <c r="J129" i="7"/>
  <c r="J128" i="7"/>
  <c r="J127" i="7"/>
  <c r="J126" i="7"/>
  <c r="J125" i="7"/>
  <c r="J124" i="7"/>
  <c r="J123" i="7"/>
  <c r="J122" i="7"/>
  <c r="J121" i="7"/>
  <c r="J120" i="7"/>
  <c r="J119" i="7"/>
  <c r="J118" i="7"/>
  <c r="J117" i="7"/>
  <c r="J116" i="7"/>
  <c r="J115" i="7"/>
  <c r="J114" i="7"/>
  <c r="J113" i="7"/>
  <c r="J106" i="7"/>
  <c r="J105" i="7"/>
  <c r="J104" i="7"/>
  <c r="J103" i="7"/>
  <c r="J102" i="7"/>
  <c r="J101" i="7"/>
  <c r="J100" i="7"/>
  <c r="J99" i="7"/>
  <c r="J98" i="7"/>
  <c r="J97" i="7"/>
  <c r="J96" i="7"/>
  <c r="J95" i="7"/>
  <c r="J94" i="7"/>
  <c r="J93" i="7"/>
  <c r="J92" i="7"/>
  <c r="J91" i="7"/>
  <c r="J90" i="7"/>
  <c r="J89" i="7"/>
  <c r="J88" i="7"/>
  <c r="J87" i="7"/>
  <c r="J86" i="7"/>
  <c r="J85" i="7"/>
  <c r="J84" i="7"/>
  <c r="J83" i="7"/>
  <c r="J76" i="7"/>
  <c r="J75" i="7"/>
  <c r="J74" i="7"/>
  <c r="J73" i="7"/>
  <c r="J72" i="7"/>
  <c r="J71" i="7"/>
  <c r="J70" i="7"/>
  <c r="J69" i="7"/>
  <c r="J68" i="7"/>
  <c r="J67" i="7"/>
  <c r="J66" i="7"/>
  <c r="J65" i="7"/>
  <c r="J64" i="7"/>
  <c r="J63" i="7"/>
  <c r="J62" i="7"/>
  <c r="J61" i="7"/>
  <c r="J60" i="7"/>
  <c r="J59" i="7"/>
  <c r="J58" i="7"/>
  <c r="J57" i="7"/>
  <c r="J56" i="7"/>
  <c r="J55" i="7"/>
  <c r="J54" i="7"/>
  <c r="J53" i="7"/>
  <c r="J24" i="7"/>
  <c r="J25" i="7"/>
  <c r="J26" i="7"/>
  <c r="J27" i="7"/>
  <c r="J28" i="7"/>
  <c r="J29" i="7"/>
  <c r="J30" i="7"/>
  <c r="J31" i="7"/>
  <c r="J32" i="7"/>
  <c r="J33" i="7"/>
  <c r="J34" i="7"/>
  <c r="J35" i="7"/>
  <c r="J36" i="7"/>
  <c r="J37" i="7"/>
  <c r="J38" i="7"/>
  <c r="J39" i="7"/>
  <c r="J40" i="7"/>
  <c r="J41" i="7"/>
  <c r="J42" i="7"/>
  <c r="J43" i="7"/>
  <c r="J44" i="7"/>
  <c r="J45" i="7"/>
  <c r="J46" i="7"/>
  <c r="J23" i="7"/>
  <c r="J144" i="7"/>
  <c r="J145" i="7"/>
  <c r="J146" i="7"/>
  <c r="J147" i="7"/>
  <c r="J148" i="7"/>
  <c r="J149" i="7"/>
  <c r="J150" i="7"/>
  <c r="J151" i="7"/>
  <c r="J152" i="7"/>
  <c r="J153" i="7"/>
  <c r="J154" i="7"/>
  <c r="J155" i="7"/>
  <c r="J156" i="7"/>
  <c r="J157" i="7"/>
  <c r="J158" i="7"/>
  <c r="J159" i="7"/>
  <c r="J160" i="7"/>
  <c r="J161" i="7"/>
  <c r="J162" i="7"/>
  <c r="J163" i="7"/>
  <c r="J164" i="7"/>
  <c r="J165" i="7"/>
  <c r="J166" i="7"/>
  <c r="J167" i="7"/>
  <c r="J174" i="7"/>
  <c r="J175" i="7"/>
  <c r="J176" i="7"/>
  <c r="J177" i="7"/>
  <c r="J178" i="7"/>
  <c r="J179" i="7"/>
  <c r="J180" i="7"/>
  <c r="J181" i="7"/>
  <c r="J182" i="7"/>
  <c r="J183" i="7"/>
  <c r="J184" i="7"/>
  <c r="J185" i="7"/>
  <c r="J186" i="7"/>
  <c r="J187" i="7"/>
  <c r="J188" i="7"/>
  <c r="J189" i="7"/>
  <c r="J190" i="7"/>
  <c r="J191" i="7"/>
  <c r="J192" i="7"/>
  <c r="J193" i="7"/>
  <c r="J194" i="7"/>
  <c r="J195" i="7"/>
  <c r="J196" i="7"/>
  <c r="J197" i="7"/>
  <c r="J204" i="7"/>
  <c r="J205" i="7"/>
  <c r="J206" i="7"/>
  <c r="J207" i="7"/>
  <c r="J208" i="7"/>
  <c r="J209" i="7"/>
  <c r="J210" i="7"/>
  <c r="J211" i="7"/>
  <c r="J212" i="7"/>
  <c r="J213" i="7"/>
  <c r="J214" i="7"/>
  <c r="J215" i="7"/>
  <c r="J216" i="7"/>
  <c r="J217" i="7"/>
  <c r="J218" i="7"/>
  <c r="J219" i="7"/>
  <c r="J220" i="7"/>
  <c r="J221" i="7"/>
  <c r="J222" i="7"/>
  <c r="J223" i="7"/>
  <c r="J224" i="7"/>
  <c r="J225" i="7"/>
  <c r="J226" i="7"/>
  <c r="J227" i="7"/>
  <c r="J234" i="7"/>
  <c r="J235" i="7"/>
  <c r="J236" i="7"/>
  <c r="J237" i="7"/>
  <c r="J238" i="7"/>
  <c r="J239" i="7"/>
  <c r="J240" i="7"/>
  <c r="J241" i="7"/>
  <c r="J242" i="7"/>
  <c r="J243" i="7"/>
  <c r="J244" i="7"/>
  <c r="J245" i="7"/>
  <c r="J246" i="7"/>
  <c r="J247" i="7"/>
  <c r="J248" i="7"/>
  <c r="J249" i="7"/>
  <c r="J250" i="7"/>
  <c r="J251" i="7"/>
  <c r="J252" i="7"/>
  <c r="J253" i="7"/>
  <c r="J254" i="7"/>
  <c r="J255" i="7"/>
  <c r="J256" i="7"/>
  <c r="J257" i="7"/>
  <c r="AN22" i="7"/>
  <c r="AN21" i="7"/>
  <c r="A34" i="3"/>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B35" i="3"/>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32" i="1"/>
  <c r="D4" i="8"/>
  <c r="C4" i="8"/>
  <c r="B39" i="6"/>
  <c r="B6" i="6"/>
  <c r="B40" i="6"/>
  <c r="B7" i="6" s="1"/>
  <c r="B41" i="6"/>
  <c r="B8" i="6"/>
  <c r="B42" i="6"/>
  <c r="B9" i="6" s="1"/>
  <c r="B43" i="6"/>
  <c r="B10" i="6"/>
  <c r="B44" i="6"/>
  <c r="B11" i="6" s="1"/>
  <c r="B45" i="6"/>
  <c r="B12" i="6"/>
  <c r="B38" i="6"/>
  <c r="B5" i="6" s="1"/>
  <c r="K33" i="3"/>
  <c r="J82" i="7" l="1"/>
  <c r="J52" i="7"/>
  <c r="J112" i="7"/>
  <c r="J173" i="7"/>
  <c r="J22" i="7"/>
  <c r="J233" i="7"/>
  <c r="J203" i="7"/>
  <c r="D32" i="8"/>
  <c r="D33" i="8" s="1"/>
  <c r="D34" i="8" s="1"/>
  <c r="D35" i="8" s="1"/>
  <c r="D36" i="8" s="1"/>
  <c r="D37" i="8" s="1"/>
  <c r="D38" i="8" s="1"/>
  <c r="D39" i="8" s="1"/>
  <c r="D40" i="8" s="1"/>
  <c r="D41" i="8" s="1"/>
  <c r="D42" i="8" s="1"/>
  <c r="D43" i="8" s="1"/>
  <c r="D44" i="8" s="1"/>
  <c r="D45" i="8" s="1"/>
  <c r="D46" i="8" s="1"/>
  <c r="D47" i="8" s="1"/>
  <c r="J143" i="7"/>
  <c r="C10" i="11"/>
  <c r="D5" i="8"/>
  <c r="E6" i="14"/>
  <c r="G5" i="8"/>
  <c r="C5" i="8"/>
  <c r="D48" i="7"/>
  <c r="C48" i="7" s="1"/>
  <c r="C169" i="7" s="1"/>
  <c r="I5" i="8"/>
  <c r="E5" i="8"/>
  <c r="F5" i="8"/>
  <c r="D78" i="7"/>
  <c r="C78" i="7" s="1"/>
  <c r="F13" i="12"/>
  <c r="C13" i="12"/>
  <c r="G13" i="12"/>
  <c r="I13" i="12"/>
  <c r="H13" i="12"/>
  <c r="E13" i="12"/>
  <c r="D13" i="12"/>
  <c r="B18" i="1" s="1"/>
  <c r="B31" i="1"/>
  <c r="C4" i="11"/>
  <c r="C8" i="11" s="1"/>
  <c r="C9" i="11" s="1"/>
  <c r="I27" i="8" l="1"/>
  <c r="I165" i="7" s="1"/>
  <c r="D48" i="8"/>
  <c r="D49" i="8" s="1"/>
  <c r="I25" i="8"/>
  <c r="I253" i="7" s="1"/>
  <c r="I12" i="8"/>
  <c r="I210" i="7" s="1"/>
  <c r="I15" i="8"/>
  <c r="I122" i="7" s="1"/>
  <c r="K122" i="7" s="1"/>
  <c r="I11" i="8"/>
  <c r="I118" i="7" s="1"/>
  <c r="K118" i="7" s="1"/>
  <c r="I29" i="8"/>
  <c r="I197" i="7" s="1"/>
  <c r="I23" i="8"/>
  <c r="I221" i="7" s="1"/>
  <c r="I18" i="8"/>
  <c r="I216" i="7" s="1"/>
  <c r="I9" i="8"/>
  <c r="I177" i="7" s="1"/>
  <c r="I19" i="8"/>
  <c r="I247" i="7" s="1"/>
  <c r="I17" i="8"/>
  <c r="I7" i="8"/>
  <c r="I84" i="7" s="1"/>
  <c r="K84" i="7" s="1"/>
  <c r="I26" i="8"/>
  <c r="I133" i="7" s="1"/>
  <c r="K133" i="7" s="1"/>
  <c r="I14" i="8"/>
  <c r="I152" i="7" s="1"/>
  <c r="I227" i="7"/>
  <c r="I8" i="8"/>
  <c r="I236" i="7" s="1"/>
  <c r="I13" i="8"/>
  <c r="I151" i="7" s="1"/>
  <c r="I22" i="8"/>
  <c r="I69" i="7" s="1"/>
  <c r="K69" i="7" s="1"/>
  <c r="I24" i="8"/>
  <c r="I131" i="7" s="1"/>
  <c r="K131" i="7" s="1"/>
  <c r="E252" i="7" s="1"/>
  <c r="I28" i="8"/>
  <c r="I105" i="7" s="1"/>
  <c r="K105" i="7" s="1"/>
  <c r="I20" i="8"/>
  <c r="I127" i="7" s="1"/>
  <c r="K127" i="7" s="1"/>
  <c r="I16" i="8"/>
  <c r="I33" i="7" s="1"/>
  <c r="K33" i="7" s="1"/>
  <c r="E154" i="7" s="1"/>
  <c r="I21" i="8"/>
  <c r="I98" i="7" s="1"/>
  <c r="K98" i="7" s="1"/>
  <c r="I6" i="8"/>
  <c r="I234" i="7" s="1"/>
  <c r="I10" i="8"/>
  <c r="I117" i="7" s="1"/>
  <c r="K117" i="7" s="1"/>
  <c r="I220" i="7"/>
  <c r="I104" i="7"/>
  <c r="K104" i="7" s="1"/>
  <c r="I56" i="7"/>
  <c r="K56" i="7" s="1"/>
  <c r="I86" i="7"/>
  <c r="K86" i="7" s="1"/>
  <c r="I207" i="7"/>
  <c r="I116" i="7"/>
  <c r="K116" i="7" s="1"/>
  <c r="I147" i="7"/>
  <c r="I26" i="7"/>
  <c r="K26" i="7" s="1"/>
  <c r="I156" i="7"/>
  <c r="I214" i="7"/>
  <c r="I74" i="7"/>
  <c r="K74" i="7" s="1"/>
  <c r="E195" i="7" s="1"/>
  <c r="I225" i="7"/>
  <c r="I195" i="7"/>
  <c r="I120" i="7"/>
  <c r="K120" i="7" s="1"/>
  <c r="I241" i="7"/>
  <c r="I103" i="7"/>
  <c r="K103" i="7" s="1"/>
  <c r="I164" i="7"/>
  <c r="I67" i="7"/>
  <c r="K67" i="7" s="1"/>
  <c r="C199" i="7"/>
  <c r="I196" i="7"/>
  <c r="I75" i="7"/>
  <c r="K75" i="7" s="1"/>
  <c r="C12" i="11"/>
  <c r="C13" i="11" s="1"/>
  <c r="C14" i="11" s="1"/>
  <c r="I123" i="7" l="1"/>
  <c r="K123" i="7" s="1"/>
  <c r="I132" i="7"/>
  <c r="K132" i="7" s="1"/>
  <c r="I224" i="7"/>
  <c r="I237" i="7"/>
  <c r="I166" i="7"/>
  <c r="I255" i="7"/>
  <c r="I44" i="7"/>
  <c r="K44" i="7" s="1"/>
  <c r="E165" i="7" s="1"/>
  <c r="I183" i="7"/>
  <c r="I135" i="7"/>
  <c r="K135" i="7" s="1"/>
  <c r="I134" i="7"/>
  <c r="K134" i="7" s="1"/>
  <c r="E255" i="7" s="1"/>
  <c r="I119" i="7"/>
  <c r="K119" i="7" s="1"/>
  <c r="E240" i="7" s="1"/>
  <c r="I186" i="7"/>
  <c r="I90" i="7"/>
  <c r="K90" i="7" s="1"/>
  <c r="E211" i="7" s="1"/>
  <c r="I211" i="7"/>
  <c r="I226" i="7"/>
  <c r="I256" i="7"/>
  <c r="I102" i="7"/>
  <c r="K102" i="7" s="1"/>
  <c r="I36" i="7"/>
  <c r="K36" i="7" s="1"/>
  <c r="E157" i="7" s="1"/>
  <c r="I60" i="7"/>
  <c r="K60" i="7" s="1"/>
  <c r="E181" i="7" s="1"/>
  <c r="I163" i="7"/>
  <c r="I45" i="7"/>
  <c r="K45" i="7" s="1"/>
  <c r="I223" i="7"/>
  <c r="I187" i="7"/>
  <c r="I30" i="7"/>
  <c r="K30" i="7" s="1"/>
  <c r="E151" i="7" s="1"/>
  <c r="I181" i="7"/>
  <c r="I180" i="7"/>
  <c r="I167" i="7"/>
  <c r="I240" i="7"/>
  <c r="I42" i="7"/>
  <c r="K42" i="7" s="1"/>
  <c r="E163" i="7" s="1"/>
  <c r="I189" i="7"/>
  <c r="I59" i="7"/>
  <c r="K59" i="7" s="1"/>
  <c r="E180" i="7" s="1"/>
  <c r="I89" i="7"/>
  <c r="K89" i="7" s="1"/>
  <c r="E210" i="7" s="1"/>
  <c r="I93" i="7"/>
  <c r="K93" i="7" s="1"/>
  <c r="I38" i="7"/>
  <c r="K38" i="7" s="1"/>
  <c r="E159" i="7" s="1"/>
  <c r="I136" i="7"/>
  <c r="K136" i="7" s="1"/>
  <c r="E257" i="7" s="1"/>
  <c r="I150" i="7"/>
  <c r="I72" i="7"/>
  <c r="K72" i="7" s="1"/>
  <c r="E193" i="7" s="1"/>
  <c r="I193" i="7"/>
  <c r="I126" i="7"/>
  <c r="K126" i="7" s="1"/>
  <c r="E247" i="7" s="1"/>
  <c r="I29" i="7"/>
  <c r="K29" i="7" s="1"/>
  <c r="E150" i="7" s="1"/>
  <c r="I68" i="7"/>
  <c r="K68" i="7" s="1"/>
  <c r="E189" i="7" s="1"/>
  <c r="I39" i="7"/>
  <c r="K39" i="7" s="1"/>
  <c r="E160" i="7" s="1"/>
  <c r="I257" i="7"/>
  <c r="I37" i="7"/>
  <c r="K37" i="7" s="1"/>
  <c r="E158" i="7" s="1"/>
  <c r="I32" i="7"/>
  <c r="K32" i="7" s="1"/>
  <c r="I35" i="7"/>
  <c r="K35" i="7" s="1"/>
  <c r="E156" i="7" s="1"/>
  <c r="I65" i="7"/>
  <c r="K65" i="7" s="1"/>
  <c r="E186" i="7" s="1"/>
  <c r="I238" i="7"/>
  <c r="I54" i="7"/>
  <c r="K54" i="7" s="1"/>
  <c r="E175" i="7" s="1"/>
  <c r="I235" i="7"/>
  <c r="I158" i="7"/>
  <c r="I188" i="7"/>
  <c r="I153" i="7"/>
  <c r="I95" i="7"/>
  <c r="K95" i="7" s="1"/>
  <c r="E216" i="7" s="1"/>
  <c r="I125" i="7"/>
  <c r="K125" i="7" s="1"/>
  <c r="E246" i="7" s="1"/>
  <c r="I114" i="7"/>
  <c r="K114" i="7" s="1"/>
  <c r="E235" i="7" s="1"/>
  <c r="I97" i="7"/>
  <c r="K97" i="7" s="1"/>
  <c r="E218" i="7" s="1"/>
  <c r="I248" i="7"/>
  <c r="I218" i="7"/>
  <c r="I213" i="7"/>
  <c r="I246" i="7"/>
  <c r="D50" i="8"/>
  <c r="D51" i="8" s="1"/>
  <c r="D52" i="8" s="1"/>
  <c r="D53" i="8" s="1"/>
  <c r="D54" i="8" s="1"/>
  <c r="D55" i="8" s="1"/>
  <c r="E254" i="7"/>
  <c r="E248" i="7"/>
  <c r="E239" i="7"/>
  <c r="I251" i="7"/>
  <c r="I217" i="7"/>
  <c r="I66" i="7"/>
  <c r="K66" i="7" s="1"/>
  <c r="E187" i="7" s="1"/>
  <c r="I194" i="7"/>
  <c r="I254" i="7"/>
  <c r="I243" i="7"/>
  <c r="I92" i="7"/>
  <c r="K92" i="7" s="1"/>
  <c r="I88" i="7"/>
  <c r="K88" i="7" s="1"/>
  <c r="E209" i="7" s="1"/>
  <c r="I239" i="7"/>
  <c r="I46" i="7"/>
  <c r="K46" i="7" s="1"/>
  <c r="I106" i="7"/>
  <c r="K106" i="7" s="1"/>
  <c r="I209" i="7"/>
  <c r="I70" i="7"/>
  <c r="K70" i="7" s="1"/>
  <c r="E191" i="7" s="1"/>
  <c r="I157" i="7"/>
  <c r="I96" i="7"/>
  <c r="K96" i="7" s="1"/>
  <c r="I43" i="7"/>
  <c r="K43" i="7" s="1"/>
  <c r="I73" i="7"/>
  <c r="K73" i="7" s="1"/>
  <c r="I62" i="7"/>
  <c r="K62" i="7" s="1"/>
  <c r="E183" i="7" s="1"/>
  <c r="I219" i="7"/>
  <c r="I58" i="7"/>
  <c r="K58" i="7" s="1"/>
  <c r="I28" i="7"/>
  <c r="K28" i="7" s="1"/>
  <c r="I179" i="7"/>
  <c r="I76" i="7"/>
  <c r="K76" i="7" s="1"/>
  <c r="I149" i="7"/>
  <c r="I31" i="7"/>
  <c r="K31" i="7" s="1"/>
  <c r="I40" i="7"/>
  <c r="K40" i="7" s="1"/>
  <c r="I212" i="7"/>
  <c r="I159" i="7"/>
  <c r="I161" i="7"/>
  <c r="I100" i="7"/>
  <c r="K100" i="7" s="1"/>
  <c r="E221" i="7" s="1"/>
  <c r="I191" i="7"/>
  <c r="I130" i="7"/>
  <c r="K130" i="7" s="1"/>
  <c r="I245" i="7"/>
  <c r="I64" i="7"/>
  <c r="K64" i="7" s="1"/>
  <c r="I242" i="7"/>
  <c r="I91" i="7"/>
  <c r="K91" i="7" s="1"/>
  <c r="I85" i="7"/>
  <c r="K85" i="7" s="1"/>
  <c r="I155" i="7"/>
  <c r="I34" i="7"/>
  <c r="K34" i="7" s="1"/>
  <c r="E155" i="7" s="1"/>
  <c r="I215" i="7"/>
  <c r="I61" i="7"/>
  <c r="K61" i="7" s="1"/>
  <c r="E182" i="7" s="1"/>
  <c r="I25" i="7"/>
  <c r="K25" i="7" s="1"/>
  <c r="E146" i="7" s="1"/>
  <c r="I94" i="7"/>
  <c r="K94" i="7" s="1"/>
  <c r="I57" i="7"/>
  <c r="K57" i="7" s="1"/>
  <c r="I124" i="7"/>
  <c r="K124" i="7" s="1"/>
  <c r="I185" i="7"/>
  <c r="I24" i="7"/>
  <c r="K24" i="7" s="1"/>
  <c r="I175" i="7"/>
  <c r="I145" i="7"/>
  <c r="I205" i="7"/>
  <c r="I182" i="7"/>
  <c r="I121" i="7"/>
  <c r="K121" i="7" s="1"/>
  <c r="E238" i="7"/>
  <c r="I23" i="7"/>
  <c r="K23" i="7" s="1"/>
  <c r="I174" i="7"/>
  <c r="I53" i="7"/>
  <c r="K53" i="7" s="1"/>
  <c r="I162" i="7"/>
  <c r="I192" i="7"/>
  <c r="I222" i="7"/>
  <c r="I250" i="7"/>
  <c r="I99" i="7"/>
  <c r="K99" i="7" s="1"/>
  <c r="I160" i="7"/>
  <c r="I129" i="7"/>
  <c r="K129" i="7" s="1"/>
  <c r="E190" i="7"/>
  <c r="I176" i="7"/>
  <c r="I115" i="7"/>
  <c r="K115" i="7" s="1"/>
  <c r="I128" i="7"/>
  <c r="K128" i="7" s="1"/>
  <c r="I41" i="7"/>
  <c r="K41" i="7" s="1"/>
  <c r="I190" i="7"/>
  <c r="I244" i="7"/>
  <c r="I63" i="7"/>
  <c r="K63" i="7" s="1"/>
  <c r="I154" i="7"/>
  <c r="I184" i="7"/>
  <c r="I206" i="7"/>
  <c r="I55" i="7"/>
  <c r="K55" i="7" s="1"/>
  <c r="E176" i="7" s="1"/>
  <c r="I113" i="7"/>
  <c r="K113" i="7" s="1"/>
  <c r="I144" i="7"/>
  <c r="E244" i="7"/>
  <c r="I4" i="8"/>
  <c r="I146" i="7"/>
  <c r="I249" i="7"/>
  <c r="I83" i="7"/>
  <c r="K83" i="7" s="1"/>
  <c r="I252" i="7"/>
  <c r="I204" i="7"/>
  <c r="I71" i="7"/>
  <c r="K71" i="7" s="1"/>
  <c r="E192" i="7" s="1"/>
  <c r="I101" i="7"/>
  <c r="K101" i="7" s="1"/>
  <c r="E222" i="7" s="1"/>
  <c r="I178" i="7"/>
  <c r="I208" i="7"/>
  <c r="I87" i="7"/>
  <c r="K87" i="7" s="1"/>
  <c r="I27" i="7"/>
  <c r="K27" i="7" s="1"/>
  <c r="I148" i="7"/>
  <c r="E177" i="7"/>
  <c r="E253" i="7"/>
  <c r="E153" i="7"/>
  <c r="E207" i="7"/>
  <c r="E223" i="7"/>
  <c r="E226" i="7"/>
  <c r="E243" i="7"/>
  <c r="E237" i="7"/>
  <c r="E241" i="7"/>
  <c r="E147" i="7"/>
  <c r="E214" i="7"/>
  <c r="E188" i="7"/>
  <c r="E256" i="7"/>
  <c r="E196" i="7"/>
  <c r="E205" i="7"/>
  <c r="E219" i="7"/>
  <c r="E225" i="7"/>
  <c r="E224" i="7"/>
  <c r="E166" i="7"/>
  <c r="M27" i="8" l="1"/>
  <c r="D56" i="8"/>
  <c r="E217" i="7"/>
  <c r="C13" i="9"/>
  <c r="E249" i="7"/>
  <c r="E152" i="7"/>
  <c r="E194" i="7"/>
  <c r="E164" i="7"/>
  <c r="E227" i="7"/>
  <c r="I52" i="7"/>
  <c r="E213" i="7"/>
  <c r="E212" i="7"/>
  <c r="C9" i="9"/>
  <c r="E179" i="7"/>
  <c r="E167" i="7"/>
  <c r="E251" i="7"/>
  <c r="E178" i="7"/>
  <c r="E149" i="7"/>
  <c r="E215" i="7"/>
  <c r="C10" i="9"/>
  <c r="E197" i="7"/>
  <c r="E242" i="7"/>
  <c r="C6" i="9"/>
  <c r="I203" i="7"/>
  <c r="E161" i="7"/>
  <c r="C15" i="9"/>
  <c r="I233" i="7"/>
  <c r="E145" i="7"/>
  <c r="K22" i="7"/>
  <c r="I143" i="7"/>
  <c r="I173" i="7"/>
  <c r="E185" i="7"/>
  <c r="K52" i="7"/>
  <c r="E204" i="7"/>
  <c r="E245" i="7"/>
  <c r="E206" i="7"/>
  <c r="E236" i="7"/>
  <c r="E144" i="7"/>
  <c r="K82" i="7"/>
  <c r="C16" i="9"/>
  <c r="E208" i="7"/>
  <c r="E234" i="7"/>
  <c r="E250" i="7"/>
  <c r="I82" i="7"/>
  <c r="B21" i="1"/>
  <c r="I22" i="7"/>
  <c r="C7" i="9"/>
  <c r="C12" i="9"/>
  <c r="E162" i="7"/>
  <c r="E174" i="7"/>
  <c r="E148" i="7"/>
  <c r="I112" i="7"/>
  <c r="K112" i="7"/>
  <c r="E184" i="7"/>
  <c r="E220" i="7"/>
  <c r="C14" i="9" l="1"/>
  <c r="E33" i="8"/>
  <c r="C235" i="7" s="1"/>
  <c r="D235" i="7" s="1"/>
  <c r="N235" i="7" s="1"/>
  <c r="E37" i="8"/>
  <c r="E41" i="8"/>
  <c r="C153" i="7" s="1"/>
  <c r="D153" i="7" s="1"/>
  <c r="N153" i="7" s="1"/>
  <c r="E45" i="8"/>
  <c r="C187" i="7" s="1"/>
  <c r="D187" i="7" s="1"/>
  <c r="N187" i="7" s="1"/>
  <c r="E49" i="8"/>
  <c r="C130" i="7" s="1"/>
  <c r="D130" i="7" s="1"/>
  <c r="N130" i="7" s="1"/>
  <c r="E53" i="8"/>
  <c r="C165" i="7" s="1"/>
  <c r="D165" i="7" s="1"/>
  <c r="N165" i="7" s="1"/>
  <c r="E34" i="8"/>
  <c r="C25" i="7" s="1"/>
  <c r="D25" i="7" s="1"/>
  <c r="N25" i="7" s="1"/>
  <c r="E38" i="8"/>
  <c r="C89" i="7" s="1"/>
  <c r="D89" i="7" s="1"/>
  <c r="N89" i="7" s="1"/>
  <c r="E42" i="8"/>
  <c r="C154" i="7" s="1"/>
  <c r="D154" i="7" s="1"/>
  <c r="N154" i="7" s="1"/>
  <c r="E46" i="8"/>
  <c r="C218" i="7" s="1"/>
  <c r="D218" i="7" s="1"/>
  <c r="N218" i="7" s="1"/>
  <c r="E50" i="8"/>
  <c r="C222" i="7" s="1"/>
  <c r="D222" i="7" s="1"/>
  <c r="N222" i="7" s="1"/>
  <c r="E54" i="8"/>
  <c r="C75" i="7" s="1"/>
  <c r="D75" i="7" s="1"/>
  <c r="N75" i="7" s="1"/>
  <c r="E48" i="8"/>
  <c r="C160" i="7" s="1"/>
  <c r="D160" i="7" s="1"/>
  <c r="N160" i="7" s="1"/>
  <c r="E35" i="8"/>
  <c r="C26" i="7" s="1"/>
  <c r="D26" i="7" s="1"/>
  <c r="E39" i="8"/>
  <c r="C60" i="7" s="1"/>
  <c r="D60" i="7" s="1"/>
  <c r="E43" i="8"/>
  <c r="C124" i="7" s="1"/>
  <c r="D124" i="7" s="1"/>
  <c r="N124" i="7" s="1"/>
  <c r="E47" i="8"/>
  <c r="C219" i="7" s="1"/>
  <c r="D219" i="7" s="1"/>
  <c r="N219" i="7" s="1"/>
  <c r="E51" i="8"/>
  <c r="C132" i="7" s="1"/>
  <c r="D132" i="7" s="1"/>
  <c r="N132" i="7" s="1"/>
  <c r="E32" i="8"/>
  <c r="C83" i="7" s="1"/>
  <c r="D83" i="7" s="1"/>
  <c r="N83" i="7" s="1"/>
  <c r="E55" i="8"/>
  <c r="C167" i="7" s="1"/>
  <c r="D167" i="7" s="1"/>
  <c r="N167" i="7" s="1"/>
  <c r="E36" i="8"/>
  <c r="C208" i="7" s="1"/>
  <c r="D208" i="7" s="1"/>
  <c r="N208" i="7" s="1"/>
  <c r="E40" i="8"/>
  <c r="C91" i="7" s="1"/>
  <c r="D91" i="7" s="1"/>
  <c r="N91" i="7" s="1"/>
  <c r="E44" i="8"/>
  <c r="C186" i="7" s="1"/>
  <c r="D186" i="7" s="1"/>
  <c r="N186" i="7" s="1"/>
  <c r="E52" i="8"/>
  <c r="C11" i="9"/>
  <c r="C19" i="9"/>
  <c r="C8" i="9"/>
  <c r="C17" i="9"/>
  <c r="C18" i="9"/>
  <c r="C63" i="7" l="1"/>
  <c r="D63" i="7" s="1"/>
  <c r="N63" i="7" s="1"/>
  <c r="C68" i="7"/>
  <c r="D68" i="7" s="1"/>
  <c r="N68" i="7" s="1"/>
  <c r="C33" i="7"/>
  <c r="D33" i="7" s="1"/>
  <c r="N33" i="7" s="1"/>
  <c r="C38" i="7"/>
  <c r="D38" i="7" s="1"/>
  <c r="L38" i="7" s="1"/>
  <c r="C251" i="7"/>
  <c r="D251" i="7" s="1"/>
  <c r="N251" i="7" s="1"/>
  <c r="C123" i="7"/>
  <c r="D123" i="7" s="1"/>
  <c r="N123" i="7" s="1"/>
  <c r="C93" i="7"/>
  <c r="D93" i="7" s="1"/>
  <c r="N93" i="7" s="1"/>
  <c r="C214" i="7"/>
  <c r="D214" i="7" s="1"/>
  <c r="N214" i="7" s="1"/>
  <c r="C221" i="7"/>
  <c r="D221" i="7" s="1"/>
  <c r="N221" i="7" s="1"/>
  <c r="C70" i="7"/>
  <c r="D70" i="7" s="1"/>
  <c r="N70" i="7" s="1"/>
  <c r="C238" i="7"/>
  <c r="D238" i="7" s="1"/>
  <c r="N238" i="7" s="1"/>
  <c r="C148" i="7"/>
  <c r="D148" i="7" s="1"/>
  <c r="N148" i="7" s="1"/>
  <c r="C98" i="7"/>
  <c r="D98" i="7" s="1"/>
  <c r="N98" i="7" s="1"/>
  <c r="C244" i="7"/>
  <c r="D244" i="7" s="1"/>
  <c r="N244" i="7" s="1"/>
  <c r="C57" i="7"/>
  <c r="D57" i="7" s="1"/>
  <c r="N57" i="7" s="1"/>
  <c r="C248" i="7"/>
  <c r="D248" i="7" s="1"/>
  <c r="N248" i="7" s="1"/>
  <c r="C161" i="7"/>
  <c r="D161" i="7" s="1"/>
  <c r="N161" i="7" s="1"/>
  <c r="C191" i="7"/>
  <c r="D191" i="7" s="1"/>
  <c r="N191" i="7" s="1"/>
  <c r="C236" i="7"/>
  <c r="D236" i="7" s="1"/>
  <c r="N236" i="7" s="1"/>
  <c r="C128" i="7"/>
  <c r="D128" i="7" s="1"/>
  <c r="N128" i="7" s="1"/>
  <c r="C178" i="7"/>
  <c r="D178" i="7" s="1"/>
  <c r="N178" i="7" s="1"/>
  <c r="C159" i="7"/>
  <c r="D159" i="7" s="1"/>
  <c r="N159" i="7" s="1"/>
  <c r="C189" i="7"/>
  <c r="D189" i="7" s="1"/>
  <c r="N189" i="7" s="1"/>
  <c r="C249" i="7"/>
  <c r="D249" i="7" s="1"/>
  <c r="N249" i="7" s="1"/>
  <c r="C117" i="7"/>
  <c r="D117" i="7" s="1"/>
  <c r="N117" i="7" s="1"/>
  <c r="C27" i="7"/>
  <c r="D27" i="7" s="1"/>
  <c r="N27" i="7" s="1"/>
  <c r="C40" i="7"/>
  <c r="D40" i="7" s="1"/>
  <c r="L40" i="7" s="1"/>
  <c r="C100" i="7"/>
  <c r="D100" i="7" s="1"/>
  <c r="N100" i="7" s="1"/>
  <c r="C184" i="7"/>
  <c r="D184" i="7" s="1"/>
  <c r="N184" i="7" s="1"/>
  <c r="C87" i="7"/>
  <c r="D87" i="7" s="1"/>
  <c r="N87" i="7" s="1"/>
  <c r="C188" i="7"/>
  <c r="D188" i="7" s="1"/>
  <c r="N188" i="7" s="1"/>
  <c r="C207" i="7"/>
  <c r="D207" i="7" s="1"/>
  <c r="N207" i="7" s="1"/>
  <c r="C104" i="7"/>
  <c r="D104" i="7" s="1"/>
  <c r="N104" i="7" s="1"/>
  <c r="C67" i="7"/>
  <c r="D67" i="7" s="1"/>
  <c r="N67" i="7" s="1"/>
  <c r="C134" i="7"/>
  <c r="D134" i="7" s="1"/>
  <c r="N134" i="7" s="1"/>
  <c r="C116" i="7"/>
  <c r="D116" i="7" s="1"/>
  <c r="N116" i="7" s="1"/>
  <c r="L60" i="7"/>
  <c r="N60" i="7"/>
  <c r="L26" i="7"/>
  <c r="N26" i="7"/>
  <c r="C127" i="7"/>
  <c r="D127" i="7" s="1"/>
  <c r="N127" i="7" s="1"/>
  <c r="C86" i="7"/>
  <c r="D86" i="7" s="1"/>
  <c r="N86" i="7" s="1"/>
  <c r="C237" i="7"/>
  <c r="D237" i="7" s="1"/>
  <c r="N237" i="7" s="1"/>
  <c r="C177" i="7"/>
  <c r="D177" i="7" s="1"/>
  <c r="M177" i="7" s="1"/>
  <c r="O177" i="7" s="1"/>
  <c r="C37" i="7"/>
  <c r="D37" i="7" s="1"/>
  <c r="M37" i="7" s="1"/>
  <c r="C97" i="7"/>
  <c r="D97" i="7" s="1"/>
  <c r="N97" i="7" s="1"/>
  <c r="C147" i="7"/>
  <c r="D147" i="7" s="1"/>
  <c r="M147" i="7" s="1"/>
  <c r="O147" i="7" s="1"/>
  <c r="C56" i="7"/>
  <c r="D56" i="7" s="1"/>
  <c r="M56" i="7" s="1"/>
  <c r="C158" i="7"/>
  <c r="D158" i="7" s="1"/>
  <c r="N158" i="7" s="1"/>
  <c r="C71" i="7"/>
  <c r="D71" i="7" s="1"/>
  <c r="N71" i="7" s="1"/>
  <c r="C144" i="7"/>
  <c r="D144" i="7" s="1"/>
  <c r="N144" i="7" s="1"/>
  <c r="M132" i="7"/>
  <c r="O132" i="7" s="1"/>
  <c r="L132" i="7"/>
  <c r="M218" i="7"/>
  <c r="O218" i="7" s="1"/>
  <c r="S218" i="7" s="1"/>
  <c r="L218" i="7"/>
  <c r="M68" i="7"/>
  <c r="O68" i="7" s="1"/>
  <c r="Q68" i="7" s="1"/>
  <c r="L68" i="7"/>
  <c r="M186" i="7"/>
  <c r="O186" i="7" s="1"/>
  <c r="S186" i="7" s="1"/>
  <c r="L186" i="7"/>
  <c r="M83" i="7"/>
  <c r="O83" i="7" s="1"/>
  <c r="Q83" i="7" s="1"/>
  <c r="L83" i="7"/>
  <c r="M222" i="7"/>
  <c r="O222" i="7" s="1"/>
  <c r="L222" i="7"/>
  <c r="M25" i="7"/>
  <c r="O25" i="7" s="1"/>
  <c r="Q25" i="7" s="1"/>
  <c r="L25" i="7"/>
  <c r="M70" i="7"/>
  <c r="M208" i="7"/>
  <c r="O208" i="7" s="1"/>
  <c r="L208" i="7"/>
  <c r="M91" i="7"/>
  <c r="L91" i="7"/>
  <c r="M219" i="7"/>
  <c r="O219" i="7" s="1"/>
  <c r="S219" i="7" s="1"/>
  <c r="L219" i="7"/>
  <c r="M130" i="7"/>
  <c r="O130" i="7" s="1"/>
  <c r="Q130" i="7" s="1"/>
  <c r="L130" i="7"/>
  <c r="M63" i="7"/>
  <c r="O63" i="7" s="1"/>
  <c r="Q63" i="7" s="1"/>
  <c r="L63" i="7"/>
  <c r="M238" i="7"/>
  <c r="O238" i="7" s="1"/>
  <c r="M235" i="7"/>
  <c r="O235" i="7" s="1"/>
  <c r="S235" i="7" s="1"/>
  <c r="L235" i="7"/>
  <c r="M124" i="7"/>
  <c r="O124" i="7" s="1"/>
  <c r="Q124" i="7" s="1"/>
  <c r="L124" i="7"/>
  <c r="M75" i="7"/>
  <c r="L75" i="7"/>
  <c r="M89" i="7"/>
  <c r="O89" i="7" s="1"/>
  <c r="Q89" i="7" s="1"/>
  <c r="L89" i="7"/>
  <c r="M187" i="7"/>
  <c r="O187" i="7" s="1"/>
  <c r="L187" i="7"/>
  <c r="C131" i="7"/>
  <c r="D131" i="7" s="1"/>
  <c r="N131" i="7" s="1"/>
  <c r="C101" i="7"/>
  <c r="D101" i="7" s="1"/>
  <c r="N101" i="7" s="1"/>
  <c r="C204" i="7"/>
  <c r="D204" i="7" s="1"/>
  <c r="N204" i="7" s="1"/>
  <c r="C192" i="7"/>
  <c r="D192" i="7" s="1"/>
  <c r="N192" i="7" s="1"/>
  <c r="C41" i="7"/>
  <c r="D41" i="7" s="1"/>
  <c r="N41" i="7" s="1"/>
  <c r="M167" i="7"/>
  <c r="O167" i="7" s="1"/>
  <c r="L167" i="7"/>
  <c r="M154" i="7"/>
  <c r="O154" i="7" s="1"/>
  <c r="L154" i="7"/>
  <c r="M153" i="7"/>
  <c r="O153" i="7" s="1"/>
  <c r="L153" i="7"/>
  <c r="M165" i="7"/>
  <c r="O165" i="7" s="1"/>
  <c r="L165" i="7"/>
  <c r="M160" i="7"/>
  <c r="O160" i="7" s="1"/>
  <c r="L160" i="7"/>
  <c r="C234" i="7"/>
  <c r="D234" i="7" s="1"/>
  <c r="N234" i="7" s="1"/>
  <c r="C53" i="7"/>
  <c r="D53" i="7" s="1"/>
  <c r="N53" i="7" s="1"/>
  <c r="C85" i="7"/>
  <c r="D85" i="7" s="1"/>
  <c r="N85" i="7" s="1"/>
  <c r="C23" i="7"/>
  <c r="D23" i="7" s="1"/>
  <c r="N23" i="7" s="1"/>
  <c r="C252" i="7"/>
  <c r="D252" i="7" s="1"/>
  <c r="N252" i="7" s="1"/>
  <c r="C162" i="7"/>
  <c r="D162" i="7" s="1"/>
  <c r="N162" i="7" s="1"/>
  <c r="C113" i="7"/>
  <c r="D113" i="7" s="1"/>
  <c r="N113" i="7" s="1"/>
  <c r="C174" i="7"/>
  <c r="D174" i="7" s="1"/>
  <c r="N174" i="7" s="1"/>
  <c r="C106" i="7"/>
  <c r="D106" i="7" s="1"/>
  <c r="N106" i="7" s="1"/>
  <c r="C227" i="7"/>
  <c r="D227" i="7" s="1"/>
  <c r="N227" i="7" s="1"/>
  <c r="C66" i="7"/>
  <c r="D66" i="7" s="1"/>
  <c r="N66" i="7" s="1"/>
  <c r="C197" i="7"/>
  <c r="D197" i="7" s="1"/>
  <c r="N197" i="7" s="1"/>
  <c r="C157" i="7"/>
  <c r="D157" i="7" s="1"/>
  <c r="N157" i="7" s="1"/>
  <c r="C96" i="7"/>
  <c r="D96" i="7" s="1"/>
  <c r="N96" i="7" s="1"/>
  <c r="C217" i="7"/>
  <c r="D217" i="7" s="1"/>
  <c r="N217" i="7" s="1"/>
  <c r="C136" i="7"/>
  <c r="D136" i="7" s="1"/>
  <c r="N136" i="7" s="1"/>
  <c r="C76" i="7"/>
  <c r="D76" i="7" s="1"/>
  <c r="N76" i="7" s="1"/>
  <c r="M60" i="7"/>
  <c r="O60" i="7" s="1"/>
  <c r="Q60" i="7" s="1"/>
  <c r="M33" i="7"/>
  <c r="C34" i="7"/>
  <c r="D34" i="7" s="1"/>
  <c r="C126" i="7"/>
  <c r="D126" i="7" s="1"/>
  <c r="N126" i="7" s="1"/>
  <c r="M26" i="7"/>
  <c r="C255" i="7"/>
  <c r="D255" i="7" s="1"/>
  <c r="N255" i="7" s="1"/>
  <c r="C115" i="7"/>
  <c r="D115" i="7" s="1"/>
  <c r="N115" i="7" s="1"/>
  <c r="C55" i="7"/>
  <c r="D55" i="7" s="1"/>
  <c r="N55" i="7" s="1"/>
  <c r="C146" i="7"/>
  <c r="D146" i="7" s="1"/>
  <c r="C206" i="7"/>
  <c r="D206" i="7" s="1"/>
  <c r="N206" i="7" s="1"/>
  <c r="C256" i="7"/>
  <c r="D256" i="7" s="1"/>
  <c r="N256" i="7" s="1"/>
  <c r="C176" i="7"/>
  <c r="D176" i="7" s="1"/>
  <c r="C94" i="7"/>
  <c r="D94" i="7" s="1"/>
  <c r="N94" i="7" s="1"/>
  <c r="C215" i="7"/>
  <c r="D215" i="7" s="1"/>
  <c r="N215" i="7" s="1"/>
  <c r="C64" i="7"/>
  <c r="D64" i="7" s="1"/>
  <c r="C245" i="7"/>
  <c r="D245" i="7" s="1"/>
  <c r="C105" i="7"/>
  <c r="D105" i="7" s="1"/>
  <c r="N105" i="7" s="1"/>
  <c r="C226" i="7"/>
  <c r="D226" i="7" s="1"/>
  <c r="C166" i="7"/>
  <c r="D166" i="7" s="1"/>
  <c r="C155" i="7"/>
  <c r="D155" i="7" s="1"/>
  <c r="N155" i="7" s="1"/>
  <c r="C185" i="7"/>
  <c r="D185" i="7" s="1"/>
  <c r="C213" i="7"/>
  <c r="D213" i="7" s="1"/>
  <c r="C190" i="7"/>
  <c r="D190" i="7" s="1"/>
  <c r="C150" i="7"/>
  <c r="D150" i="7" s="1"/>
  <c r="C240" i="7"/>
  <c r="D240" i="7" s="1"/>
  <c r="C122" i="7"/>
  <c r="D122" i="7" s="1"/>
  <c r="C210" i="7"/>
  <c r="D210" i="7" s="1"/>
  <c r="C29" i="7"/>
  <c r="D29" i="7" s="1"/>
  <c r="N29" i="7" s="1"/>
  <c r="C45" i="7"/>
  <c r="D45" i="7" s="1"/>
  <c r="N45" i="7" s="1"/>
  <c r="C196" i="7"/>
  <c r="D196" i="7" s="1"/>
  <c r="C135" i="7"/>
  <c r="D135" i="7" s="1"/>
  <c r="N135" i="7" s="1"/>
  <c r="C205" i="7"/>
  <c r="D205" i="7" s="1"/>
  <c r="N205" i="7" s="1"/>
  <c r="C62" i="7"/>
  <c r="D62" i="7" s="1"/>
  <c r="N62" i="7" s="1"/>
  <c r="C59" i="7"/>
  <c r="D59" i="7" s="1"/>
  <c r="N59" i="7" s="1"/>
  <c r="C180" i="7"/>
  <c r="D180" i="7" s="1"/>
  <c r="C257" i="7"/>
  <c r="D257" i="7" s="1"/>
  <c r="C46" i="7"/>
  <c r="D46" i="7" s="1"/>
  <c r="N46" i="7" s="1"/>
  <c r="C84" i="7"/>
  <c r="D84" i="7" s="1"/>
  <c r="N84" i="7" s="1"/>
  <c r="C243" i="7"/>
  <c r="D243" i="7" s="1"/>
  <c r="C119" i="7"/>
  <c r="D119" i="7" s="1"/>
  <c r="N119" i="7" s="1"/>
  <c r="C183" i="7"/>
  <c r="D183" i="7" s="1"/>
  <c r="C92" i="7"/>
  <c r="D92" i="7" s="1"/>
  <c r="N92" i="7" s="1"/>
  <c r="C32" i="7"/>
  <c r="D32" i="7" s="1"/>
  <c r="N32" i="7" s="1"/>
  <c r="C39" i="7"/>
  <c r="D39" i="7" s="1"/>
  <c r="C99" i="7"/>
  <c r="D99" i="7" s="1"/>
  <c r="N99" i="7" s="1"/>
  <c r="C220" i="7"/>
  <c r="D220" i="7" s="1"/>
  <c r="C129" i="7"/>
  <c r="D129" i="7" s="1"/>
  <c r="N129" i="7" s="1"/>
  <c r="C69" i="7"/>
  <c r="D69" i="7" s="1"/>
  <c r="N69" i="7" s="1"/>
  <c r="C250" i="7"/>
  <c r="D250" i="7" s="1"/>
  <c r="C44" i="7"/>
  <c r="D44" i="7" s="1"/>
  <c r="N44" i="7" s="1"/>
  <c r="C74" i="7"/>
  <c r="D74" i="7" s="1"/>
  <c r="N74" i="7" s="1"/>
  <c r="C195" i="7"/>
  <c r="D195" i="7" s="1"/>
  <c r="C225" i="7"/>
  <c r="D225" i="7" s="1"/>
  <c r="C114" i="7"/>
  <c r="D114" i="7" s="1"/>
  <c r="N114" i="7" s="1"/>
  <c r="C247" i="7"/>
  <c r="D247" i="7" s="1"/>
  <c r="C36" i="7"/>
  <c r="D36" i="7" s="1"/>
  <c r="C175" i="7"/>
  <c r="D175" i="7" s="1"/>
  <c r="C145" i="7"/>
  <c r="D145" i="7" s="1"/>
  <c r="N145" i="7" s="1"/>
  <c r="C24" i="7"/>
  <c r="D24" i="7" s="1"/>
  <c r="N24" i="7" s="1"/>
  <c r="C54" i="7"/>
  <c r="D54" i="7" s="1"/>
  <c r="N54" i="7" s="1"/>
  <c r="C242" i="7"/>
  <c r="D242" i="7" s="1"/>
  <c r="C241" i="7"/>
  <c r="D241" i="7" s="1"/>
  <c r="C211" i="7"/>
  <c r="D211" i="7" s="1"/>
  <c r="C181" i="7"/>
  <c r="D181" i="7" s="1"/>
  <c r="C95" i="7"/>
  <c r="D95" i="7" s="1"/>
  <c r="N95" i="7" s="1"/>
  <c r="C151" i="7"/>
  <c r="D151" i="7" s="1"/>
  <c r="C125" i="7"/>
  <c r="D125" i="7" s="1"/>
  <c r="N125" i="7" s="1"/>
  <c r="C30" i="7"/>
  <c r="D30" i="7" s="1"/>
  <c r="N30" i="7" s="1"/>
  <c r="C163" i="7"/>
  <c r="D163" i="7" s="1"/>
  <c r="C120" i="7"/>
  <c r="D120" i="7" s="1"/>
  <c r="N120" i="7" s="1"/>
  <c r="C90" i="7"/>
  <c r="D90" i="7" s="1"/>
  <c r="N90" i="7" s="1"/>
  <c r="C182" i="7"/>
  <c r="D182" i="7" s="1"/>
  <c r="C102" i="7"/>
  <c r="D102" i="7" s="1"/>
  <c r="N102" i="7" s="1"/>
  <c r="C223" i="7"/>
  <c r="D223" i="7" s="1"/>
  <c r="C193" i="7"/>
  <c r="D193" i="7" s="1"/>
  <c r="C212" i="7"/>
  <c r="D212" i="7" s="1"/>
  <c r="C152" i="7"/>
  <c r="D152" i="7" s="1"/>
  <c r="N152" i="7" s="1"/>
  <c r="C253" i="7"/>
  <c r="D253" i="7" s="1"/>
  <c r="C72" i="7"/>
  <c r="D72" i="7" s="1"/>
  <c r="N72" i="7" s="1"/>
  <c r="C42" i="7"/>
  <c r="D42" i="7" s="1"/>
  <c r="N42" i="7" s="1"/>
  <c r="C35" i="7"/>
  <c r="D35" i="7" s="1"/>
  <c r="N35" i="7" s="1"/>
  <c r="C61" i="7"/>
  <c r="D61" i="7" s="1"/>
  <c r="N61" i="7" s="1"/>
  <c r="C121" i="7"/>
  <c r="D121" i="7" s="1"/>
  <c r="N121" i="7" s="1"/>
  <c r="C31" i="7"/>
  <c r="D31" i="7" s="1"/>
  <c r="N31" i="7" s="1"/>
  <c r="C156" i="7"/>
  <c r="D156" i="7" s="1"/>
  <c r="C246" i="7"/>
  <c r="D246" i="7" s="1"/>
  <c r="C179" i="7"/>
  <c r="D179" i="7" s="1"/>
  <c r="C118" i="7"/>
  <c r="D118" i="7" s="1"/>
  <c r="N118" i="7" s="1"/>
  <c r="C28" i="7"/>
  <c r="D28" i="7" s="1"/>
  <c r="N28" i="7" s="1"/>
  <c r="C239" i="7"/>
  <c r="D239" i="7" s="1"/>
  <c r="C149" i="7"/>
  <c r="D149" i="7" s="1"/>
  <c r="C88" i="7"/>
  <c r="D88" i="7" s="1"/>
  <c r="N88" i="7" s="1"/>
  <c r="C58" i="7"/>
  <c r="D58" i="7" s="1"/>
  <c r="N58" i="7" s="1"/>
  <c r="C209" i="7"/>
  <c r="D209" i="7" s="1"/>
  <c r="C73" i="7"/>
  <c r="D73" i="7" s="1"/>
  <c r="N73" i="7" s="1"/>
  <c r="C164" i="7"/>
  <c r="D164" i="7" s="1"/>
  <c r="C254" i="7"/>
  <c r="D254" i="7" s="1"/>
  <c r="C224" i="7"/>
  <c r="D224" i="7" s="1"/>
  <c r="C103" i="7"/>
  <c r="D103" i="7" s="1"/>
  <c r="N103" i="7" s="1"/>
  <c r="C194" i="7"/>
  <c r="D194" i="7" s="1"/>
  <c r="C43" i="7"/>
  <c r="D43" i="7" s="1"/>
  <c r="N43" i="7" s="1"/>
  <c r="C133" i="7"/>
  <c r="D133" i="7" s="1"/>
  <c r="N133" i="7" s="1"/>
  <c r="C216" i="7"/>
  <c r="D216" i="7" s="1"/>
  <c r="C65" i="7"/>
  <c r="D65" i="7" s="1"/>
  <c r="N65" i="7" s="1"/>
  <c r="C20" i="9"/>
  <c r="S208" i="7"/>
  <c r="S222" i="7"/>
  <c r="S153" i="7"/>
  <c r="S165" i="7"/>
  <c r="AF165" i="7" s="1"/>
  <c r="S167" i="7"/>
  <c r="F222" i="7"/>
  <c r="G222" i="7" s="1"/>
  <c r="H222" i="7" s="1"/>
  <c r="K222" i="7" s="1"/>
  <c r="F187" i="7"/>
  <c r="G187" i="7" s="1"/>
  <c r="H187" i="7" s="1"/>
  <c r="K187" i="7" s="1"/>
  <c r="F165" i="7"/>
  <c r="G165" i="7" s="1"/>
  <c r="H165" i="7" s="1"/>
  <c r="K165" i="7" s="1"/>
  <c r="F154" i="7"/>
  <c r="G154" i="7" s="1"/>
  <c r="H154" i="7" s="1"/>
  <c r="K154" i="7" s="1"/>
  <c r="F191" i="7"/>
  <c r="G191" i="7" s="1"/>
  <c r="H191" i="7" s="1"/>
  <c r="K191" i="7" s="1"/>
  <c r="F218" i="7"/>
  <c r="G218" i="7" s="1"/>
  <c r="H218" i="7" s="1"/>
  <c r="K218" i="7" s="1"/>
  <c r="F219" i="7"/>
  <c r="G219" i="7" s="1"/>
  <c r="H219" i="7" s="1"/>
  <c r="K219" i="7" s="1"/>
  <c r="AM219" i="7" s="1"/>
  <c r="F186" i="7"/>
  <c r="G186" i="7" s="1"/>
  <c r="H186" i="7" s="1"/>
  <c r="K186" i="7" s="1"/>
  <c r="AM186" i="7" s="1"/>
  <c r="F208" i="7"/>
  <c r="G208" i="7" s="1"/>
  <c r="H208" i="7" s="1"/>
  <c r="K208" i="7" s="1"/>
  <c r="F153" i="7"/>
  <c r="G153" i="7" s="1"/>
  <c r="H153" i="7" s="1"/>
  <c r="K153" i="7" s="1"/>
  <c r="F167" i="7"/>
  <c r="G167" i="7" s="1"/>
  <c r="H167" i="7" s="1"/>
  <c r="K167" i="7" s="1"/>
  <c r="F235" i="7"/>
  <c r="G235" i="7" s="1"/>
  <c r="H235" i="7" s="1"/>
  <c r="K235" i="7" s="1"/>
  <c r="F160" i="7"/>
  <c r="G160" i="7" s="1"/>
  <c r="H160" i="7" s="1"/>
  <c r="K160" i="7" s="1"/>
  <c r="S238" i="7" l="1"/>
  <c r="L93" i="7"/>
  <c r="L33" i="7"/>
  <c r="M128" i="7"/>
  <c r="O128" i="7" s="1"/>
  <c r="Q128" i="7" s="1"/>
  <c r="L214" i="7"/>
  <c r="N38" i="7"/>
  <c r="F238" i="7"/>
  <c r="G238" i="7" s="1"/>
  <c r="H238" i="7" s="1"/>
  <c r="K238" i="7" s="1"/>
  <c r="Q238" i="7" s="1"/>
  <c r="M38" i="7"/>
  <c r="M93" i="7"/>
  <c r="O93" i="7" s="1"/>
  <c r="Q93" i="7" s="1"/>
  <c r="F251" i="7"/>
  <c r="G251" i="7" s="1"/>
  <c r="H251" i="7" s="1"/>
  <c r="K251" i="7" s="1"/>
  <c r="AM251" i="7" s="1"/>
  <c r="L251" i="7"/>
  <c r="L123" i="7"/>
  <c r="M27" i="7"/>
  <c r="O27" i="7" s="1"/>
  <c r="Q27" i="7" s="1"/>
  <c r="M123" i="7"/>
  <c r="O123" i="7" s="1"/>
  <c r="Q123" i="7" s="1"/>
  <c r="L70" i="7"/>
  <c r="M221" i="7"/>
  <c r="O221" i="7" s="1"/>
  <c r="F214" i="7"/>
  <c r="G214" i="7" s="1"/>
  <c r="H214" i="7" s="1"/>
  <c r="K214" i="7" s="1"/>
  <c r="AM214" i="7" s="1"/>
  <c r="S251" i="7"/>
  <c r="M214" i="7"/>
  <c r="O214" i="7" s="1"/>
  <c r="S214" i="7" s="1"/>
  <c r="L238" i="7"/>
  <c r="L221" i="7"/>
  <c r="F221" i="7"/>
  <c r="G221" i="7" s="1"/>
  <c r="H221" i="7" s="1"/>
  <c r="K221" i="7" s="1"/>
  <c r="AM221" i="7" s="1"/>
  <c r="S221" i="7"/>
  <c r="L191" i="7"/>
  <c r="M251" i="7"/>
  <c r="O251" i="7" s="1"/>
  <c r="F244" i="7"/>
  <c r="G244" i="7" s="1"/>
  <c r="H244" i="7" s="1"/>
  <c r="K244" i="7" s="1"/>
  <c r="AM244" i="7" s="1"/>
  <c r="F148" i="7"/>
  <c r="G148" i="7" s="1"/>
  <c r="H148" i="7" s="1"/>
  <c r="K148" i="7" s="1"/>
  <c r="AM148" i="7" s="1"/>
  <c r="L249" i="7"/>
  <c r="L98" i="7"/>
  <c r="F248" i="7"/>
  <c r="G248" i="7" s="1"/>
  <c r="H248" i="7" s="1"/>
  <c r="K248" i="7" s="1"/>
  <c r="AM248" i="7" s="1"/>
  <c r="S178" i="7"/>
  <c r="AF178" i="7" s="1"/>
  <c r="M117" i="7"/>
  <c r="O117" i="7" s="1"/>
  <c r="Q117" i="7" s="1"/>
  <c r="L184" i="7"/>
  <c r="M98" i="7"/>
  <c r="O98" i="7" s="1"/>
  <c r="Q98" i="7" s="1"/>
  <c r="F184" i="7"/>
  <c r="G184" i="7" s="1"/>
  <c r="H184" i="7" s="1"/>
  <c r="K184" i="7" s="1"/>
  <c r="AM184" i="7" s="1"/>
  <c r="F161" i="7"/>
  <c r="G161" i="7" s="1"/>
  <c r="H161" i="7" s="1"/>
  <c r="K161" i="7" s="1"/>
  <c r="AM161" i="7" s="1"/>
  <c r="M178" i="7"/>
  <c r="O178" i="7" s="1"/>
  <c r="AL178" i="7" s="1"/>
  <c r="M184" i="7"/>
  <c r="O184" i="7" s="1"/>
  <c r="S184" i="7" s="1"/>
  <c r="L148" i="7"/>
  <c r="F178" i="7"/>
  <c r="G178" i="7" s="1"/>
  <c r="H178" i="7" s="1"/>
  <c r="K178" i="7" s="1"/>
  <c r="AM178" i="7" s="1"/>
  <c r="F249" i="7"/>
  <c r="G249" i="7" s="1"/>
  <c r="H249" i="7" s="1"/>
  <c r="K249" i="7" s="1"/>
  <c r="AM249" i="7" s="1"/>
  <c r="L161" i="7"/>
  <c r="M148" i="7"/>
  <c r="O148" i="7" s="1"/>
  <c r="R148" i="7" s="1"/>
  <c r="L117" i="7"/>
  <c r="L244" i="7"/>
  <c r="M161" i="7"/>
  <c r="O161" i="7" s="1"/>
  <c r="L178" i="7"/>
  <c r="M244" i="7"/>
  <c r="O244" i="7" s="1"/>
  <c r="S244" i="7" s="1"/>
  <c r="S191" i="7"/>
  <c r="L57" i="7"/>
  <c r="M57" i="7"/>
  <c r="O57" i="7" s="1"/>
  <c r="Q57" i="7" s="1"/>
  <c r="M249" i="7"/>
  <c r="O249" i="7" s="1"/>
  <c r="S249" i="7" s="1"/>
  <c r="L207" i="7"/>
  <c r="L100" i="7"/>
  <c r="L248" i="7"/>
  <c r="L116" i="7"/>
  <c r="M207" i="7"/>
  <c r="O207" i="7" s="1"/>
  <c r="M100" i="7"/>
  <c r="O100" i="7" s="1"/>
  <c r="M248" i="7"/>
  <c r="O248" i="7" s="1"/>
  <c r="L128" i="7"/>
  <c r="F236" i="7"/>
  <c r="G236" i="7" s="1"/>
  <c r="H236" i="7" s="1"/>
  <c r="K236" i="7" s="1"/>
  <c r="AM236" i="7" s="1"/>
  <c r="M188" i="7"/>
  <c r="O188" i="7" s="1"/>
  <c r="L236" i="7"/>
  <c r="M40" i="7"/>
  <c r="M236" i="7"/>
  <c r="O236" i="7" s="1"/>
  <c r="S236" i="7" s="1"/>
  <c r="AF236" i="7" s="1"/>
  <c r="M191" i="7"/>
  <c r="O191" i="7" s="1"/>
  <c r="Q191" i="7" s="1"/>
  <c r="M159" i="7"/>
  <c r="O159" i="7" s="1"/>
  <c r="M67" i="7"/>
  <c r="O67" i="7" s="1"/>
  <c r="Q67" i="7" s="1"/>
  <c r="F159" i="7"/>
  <c r="G159" i="7" s="1"/>
  <c r="H159" i="7" s="1"/>
  <c r="K159" i="7" s="1"/>
  <c r="AM159" i="7" s="1"/>
  <c r="L159" i="7"/>
  <c r="L27" i="7"/>
  <c r="L189" i="7"/>
  <c r="N40" i="7"/>
  <c r="F189" i="7"/>
  <c r="G189" i="7" s="1"/>
  <c r="H189" i="7" s="1"/>
  <c r="K189" i="7" s="1"/>
  <c r="AM189" i="7" s="1"/>
  <c r="F188" i="7"/>
  <c r="G188" i="7" s="1"/>
  <c r="H188" i="7" s="1"/>
  <c r="K188" i="7" s="1"/>
  <c r="L134" i="7"/>
  <c r="M189" i="7"/>
  <c r="O189" i="7" s="1"/>
  <c r="S189" i="7" s="1"/>
  <c r="S188" i="7"/>
  <c r="T188" i="7" s="1"/>
  <c r="M127" i="7"/>
  <c r="O127" i="7" s="1"/>
  <c r="Q127" i="7" s="1"/>
  <c r="M134" i="7"/>
  <c r="O134" i="7" s="1"/>
  <c r="Q134" i="7" s="1"/>
  <c r="S83" i="7"/>
  <c r="AF83" i="7" s="1"/>
  <c r="L87" i="7"/>
  <c r="M87" i="7"/>
  <c r="O87" i="7" s="1"/>
  <c r="Q87" i="7" s="1"/>
  <c r="Q165" i="7"/>
  <c r="Q153" i="7"/>
  <c r="Q219" i="7"/>
  <c r="Q218" i="7"/>
  <c r="Q160" i="7"/>
  <c r="Q222" i="7"/>
  <c r="Q186" i="7"/>
  <c r="S187" i="7"/>
  <c r="T187" i="7" s="1"/>
  <c r="Q187" i="7"/>
  <c r="AL167" i="7"/>
  <c r="Q167" i="7"/>
  <c r="AL208" i="7"/>
  <c r="Q208" i="7"/>
  <c r="AL147" i="7"/>
  <c r="AL235" i="7"/>
  <c r="Q235" i="7"/>
  <c r="AL177" i="7"/>
  <c r="AL238" i="7"/>
  <c r="S132" i="7"/>
  <c r="T132" i="7" s="1"/>
  <c r="Q132" i="7"/>
  <c r="S154" i="7"/>
  <c r="T154" i="7" s="1"/>
  <c r="V154" i="7" s="1"/>
  <c r="Q154" i="7"/>
  <c r="F207" i="7"/>
  <c r="G207" i="7" s="1"/>
  <c r="H207" i="7" s="1"/>
  <c r="K207" i="7" s="1"/>
  <c r="S207" i="7"/>
  <c r="AF207" i="7" s="1"/>
  <c r="L188" i="7"/>
  <c r="L104" i="7"/>
  <c r="M104" i="7"/>
  <c r="O104" i="7" s="1"/>
  <c r="Q104" i="7" s="1"/>
  <c r="F204" i="7"/>
  <c r="G204" i="7" s="1"/>
  <c r="H204" i="7" s="1"/>
  <c r="K204" i="7" s="1"/>
  <c r="AM204" i="7" s="1"/>
  <c r="L67" i="7"/>
  <c r="L147" i="7"/>
  <c r="L144" i="7"/>
  <c r="M116" i="7"/>
  <c r="O116" i="7" s="1"/>
  <c r="L237" i="7"/>
  <c r="M144" i="7"/>
  <c r="O144" i="7" s="1"/>
  <c r="M237" i="7"/>
  <c r="O237" i="7" s="1"/>
  <c r="S237" i="7" s="1"/>
  <c r="AF237" i="7" s="1"/>
  <c r="L71" i="7"/>
  <c r="L86" i="7"/>
  <c r="M71" i="7"/>
  <c r="O71" i="7" s="1"/>
  <c r="Q71" i="7" s="1"/>
  <c r="L97" i="7"/>
  <c r="M86" i="7"/>
  <c r="O86" i="7" s="1"/>
  <c r="Q86" i="7" s="1"/>
  <c r="M97" i="7"/>
  <c r="O97" i="7" s="1"/>
  <c r="Q97" i="7" s="1"/>
  <c r="T218" i="7"/>
  <c r="N82" i="7"/>
  <c r="L150" i="7"/>
  <c r="N150" i="7"/>
  <c r="L176" i="7"/>
  <c r="N176" i="7"/>
  <c r="L179" i="7"/>
  <c r="N179" i="7"/>
  <c r="L211" i="7"/>
  <c r="N211" i="7"/>
  <c r="L247" i="7"/>
  <c r="N247" i="7"/>
  <c r="L196" i="7"/>
  <c r="N196" i="7"/>
  <c r="L122" i="7"/>
  <c r="N122" i="7"/>
  <c r="N112" i="7" s="1"/>
  <c r="L213" i="7"/>
  <c r="N213" i="7"/>
  <c r="L226" i="7"/>
  <c r="N226" i="7"/>
  <c r="M158" i="7"/>
  <c r="O158" i="7" s="1"/>
  <c r="S147" i="7"/>
  <c r="AF147" i="7" s="1"/>
  <c r="N147" i="7"/>
  <c r="O33" i="7"/>
  <c r="L156" i="7"/>
  <c r="N156" i="7"/>
  <c r="L163" i="7"/>
  <c r="N163" i="7"/>
  <c r="L242" i="7"/>
  <c r="N242" i="7"/>
  <c r="L225" i="7"/>
  <c r="N225" i="7"/>
  <c r="L250" i="7"/>
  <c r="N250" i="7"/>
  <c r="L183" i="7"/>
  <c r="N183" i="7"/>
  <c r="L216" i="7"/>
  <c r="N216" i="7"/>
  <c r="L149" i="7"/>
  <c r="N149" i="7"/>
  <c r="L193" i="7"/>
  <c r="N193" i="7"/>
  <c r="F252" i="7"/>
  <c r="G252" i="7" s="1"/>
  <c r="H252" i="7" s="1"/>
  <c r="K252" i="7" s="1"/>
  <c r="AM252" i="7" s="1"/>
  <c r="L224" i="7"/>
  <c r="N224" i="7"/>
  <c r="L209" i="7"/>
  <c r="N209" i="7"/>
  <c r="L239" i="7"/>
  <c r="N239" i="7"/>
  <c r="L246" i="7"/>
  <c r="N246" i="7"/>
  <c r="L253" i="7"/>
  <c r="N253" i="7"/>
  <c r="L223" i="7"/>
  <c r="N223" i="7"/>
  <c r="L151" i="7"/>
  <c r="N151" i="7"/>
  <c r="L241" i="7"/>
  <c r="N241" i="7"/>
  <c r="L220" i="7"/>
  <c r="N220" i="7"/>
  <c r="L240" i="7"/>
  <c r="N240" i="7"/>
  <c r="L185" i="7"/>
  <c r="N185" i="7"/>
  <c r="L34" i="7"/>
  <c r="N34" i="7"/>
  <c r="L127" i="7"/>
  <c r="O26" i="7"/>
  <c r="Q26" i="7" s="1"/>
  <c r="L254" i="7"/>
  <c r="N254" i="7"/>
  <c r="L175" i="7"/>
  <c r="N175" i="7"/>
  <c r="L257" i="7"/>
  <c r="N257" i="7"/>
  <c r="L245" i="7"/>
  <c r="N245" i="7"/>
  <c r="L146" i="7"/>
  <c r="N146" i="7"/>
  <c r="L37" i="7"/>
  <c r="N37" i="7"/>
  <c r="O37" i="7" s="1"/>
  <c r="S37" i="7" s="1"/>
  <c r="F158" i="7"/>
  <c r="G158" i="7" s="1"/>
  <c r="H158" i="7" s="1"/>
  <c r="K158" i="7" s="1"/>
  <c r="T208" i="7"/>
  <c r="L194" i="7"/>
  <c r="N194" i="7"/>
  <c r="L164" i="7"/>
  <c r="N164" i="7"/>
  <c r="L212" i="7"/>
  <c r="N212" i="7"/>
  <c r="L182" i="7"/>
  <c r="N182" i="7"/>
  <c r="L181" i="7"/>
  <c r="N181" i="7"/>
  <c r="L36" i="7"/>
  <c r="N36" i="7"/>
  <c r="L195" i="7"/>
  <c r="N195" i="7"/>
  <c r="L39" i="7"/>
  <c r="N39" i="7"/>
  <c r="L243" i="7"/>
  <c r="N243" i="7"/>
  <c r="L180" i="7"/>
  <c r="N180" i="7"/>
  <c r="L210" i="7"/>
  <c r="N210" i="7"/>
  <c r="L190" i="7"/>
  <c r="N190" i="7"/>
  <c r="L166" i="7"/>
  <c r="N166" i="7"/>
  <c r="L64" i="7"/>
  <c r="N64" i="7"/>
  <c r="L158" i="7"/>
  <c r="L56" i="7"/>
  <c r="N56" i="7"/>
  <c r="L177" i="7"/>
  <c r="N177" i="7"/>
  <c r="P187" i="7"/>
  <c r="F144" i="7"/>
  <c r="G144" i="7" s="1"/>
  <c r="H144" i="7" s="1"/>
  <c r="K144" i="7" s="1"/>
  <c r="AM144" i="7" s="1"/>
  <c r="F147" i="7"/>
  <c r="G147" i="7" s="1"/>
  <c r="H147" i="7" s="1"/>
  <c r="K147" i="7" s="1"/>
  <c r="R147" i="7" s="1"/>
  <c r="T222" i="7"/>
  <c r="T238" i="7"/>
  <c r="S177" i="7"/>
  <c r="AF177" i="7" s="1"/>
  <c r="F237" i="7"/>
  <c r="G237" i="7" s="1"/>
  <c r="H237" i="7" s="1"/>
  <c r="K237" i="7" s="1"/>
  <c r="AM237" i="7" s="1"/>
  <c r="F177" i="7"/>
  <c r="G177" i="7" s="1"/>
  <c r="H177" i="7" s="1"/>
  <c r="K177" i="7" s="1"/>
  <c r="AM177" i="7" s="1"/>
  <c r="P222" i="7"/>
  <c r="T186" i="7"/>
  <c r="T235" i="7"/>
  <c r="T219" i="7"/>
  <c r="F190" i="7"/>
  <c r="G190" i="7" s="1"/>
  <c r="H190" i="7" s="1"/>
  <c r="K190" i="7" s="1"/>
  <c r="AM190" i="7" s="1"/>
  <c r="M65" i="7"/>
  <c r="L65" i="7"/>
  <c r="M58" i="7"/>
  <c r="O58" i="7" s="1"/>
  <c r="Q58" i="7" s="1"/>
  <c r="L58" i="7"/>
  <c r="M28" i="7"/>
  <c r="O28" i="7" s="1"/>
  <c r="Q28" i="7" s="1"/>
  <c r="L28" i="7"/>
  <c r="M35" i="7"/>
  <c r="O35" i="7" s="1"/>
  <c r="Q35" i="7" s="1"/>
  <c r="L35" i="7"/>
  <c r="M102" i="7"/>
  <c r="L102" i="7"/>
  <c r="M92" i="7"/>
  <c r="L92" i="7"/>
  <c r="M103" i="7"/>
  <c r="L103" i="7"/>
  <c r="M73" i="7"/>
  <c r="L73" i="7"/>
  <c r="M88" i="7"/>
  <c r="L88" i="7"/>
  <c r="M118" i="7"/>
  <c r="L118" i="7"/>
  <c r="M31" i="7"/>
  <c r="O31" i="7" s="1"/>
  <c r="Q31" i="7" s="1"/>
  <c r="L31" i="7"/>
  <c r="M42" i="7"/>
  <c r="O42" i="7" s="1"/>
  <c r="Q42" i="7" s="1"/>
  <c r="L42" i="7"/>
  <c r="M30" i="7"/>
  <c r="O30" i="7" s="1"/>
  <c r="Q30" i="7" s="1"/>
  <c r="L30" i="7"/>
  <c r="M95" i="7"/>
  <c r="L95" i="7"/>
  <c r="M99" i="7"/>
  <c r="O99" i="7" s="1"/>
  <c r="L99" i="7"/>
  <c r="M46" i="7"/>
  <c r="O46" i="7" s="1"/>
  <c r="Q46" i="7" s="1"/>
  <c r="L46" i="7"/>
  <c r="M62" i="7"/>
  <c r="O62" i="7" s="1"/>
  <c r="Q62" i="7" s="1"/>
  <c r="L62" i="7"/>
  <c r="M45" i="7"/>
  <c r="O45" i="7" s="1"/>
  <c r="Q45" i="7" s="1"/>
  <c r="L45" i="7"/>
  <c r="M105" i="7"/>
  <c r="O105" i="7" s="1"/>
  <c r="L105" i="7"/>
  <c r="M94" i="7"/>
  <c r="O94" i="7" s="1"/>
  <c r="Q94" i="7" s="1"/>
  <c r="L94" i="7"/>
  <c r="M115" i="7"/>
  <c r="O115" i="7" s="1"/>
  <c r="Q115" i="7" s="1"/>
  <c r="L115" i="7"/>
  <c r="M76" i="7"/>
  <c r="O76" i="7" s="1"/>
  <c r="Q76" i="7" s="1"/>
  <c r="L76" i="7"/>
  <c r="M66" i="7"/>
  <c r="O66" i="7" s="1"/>
  <c r="Q66" i="7" s="1"/>
  <c r="L66" i="7"/>
  <c r="M252" i="7"/>
  <c r="O252" i="7" s="1"/>
  <c r="L252" i="7"/>
  <c r="M234" i="7"/>
  <c r="L234" i="7"/>
  <c r="M192" i="7"/>
  <c r="O192" i="7" s="1"/>
  <c r="L192" i="7"/>
  <c r="M72" i="7"/>
  <c r="L72" i="7"/>
  <c r="M119" i="7"/>
  <c r="O119" i="7" s="1"/>
  <c r="Q119" i="7" s="1"/>
  <c r="L119" i="7"/>
  <c r="M205" i="7"/>
  <c r="O205" i="7" s="1"/>
  <c r="S205" i="7" s="1"/>
  <c r="L205" i="7"/>
  <c r="M29" i="7"/>
  <c r="O29" i="7" s="1"/>
  <c r="Q29" i="7" s="1"/>
  <c r="L29" i="7"/>
  <c r="M206" i="7"/>
  <c r="O206" i="7" s="1"/>
  <c r="S206" i="7" s="1"/>
  <c r="AF206" i="7" s="1"/>
  <c r="L206" i="7"/>
  <c r="M255" i="7"/>
  <c r="O255" i="7" s="1"/>
  <c r="L255" i="7"/>
  <c r="M96" i="7"/>
  <c r="O96" i="7" s="1"/>
  <c r="Q96" i="7" s="1"/>
  <c r="L96" i="7"/>
  <c r="M227" i="7"/>
  <c r="O227" i="7" s="1"/>
  <c r="L227" i="7"/>
  <c r="M174" i="7"/>
  <c r="O174" i="7" s="1"/>
  <c r="L174" i="7"/>
  <c r="M23" i="7"/>
  <c r="O23" i="7" s="1"/>
  <c r="Q23" i="7" s="1"/>
  <c r="L23" i="7"/>
  <c r="M204" i="7"/>
  <c r="O204" i="7" s="1"/>
  <c r="L204" i="7"/>
  <c r="M133" i="7"/>
  <c r="L133" i="7"/>
  <c r="M121" i="7"/>
  <c r="L121" i="7"/>
  <c r="M90" i="7"/>
  <c r="O90" i="7" s="1"/>
  <c r="Q90" i="7" s="1"/>
  <c r="L90" i="7"/>
  <c r="M54" i="7"/>
  <c r="O54" i="7" s="1"/>
  <c r="L54" i="7"/>
  <c r="M69" i="7"/>
  <c r="O69" i="7" s="1"/>
  <c r="L69" i="7"/>
  <c r="M43" i="7"/>
  <c r="O43" i="7" s="1"/>
  <c r="Q43" i="7" s="1"/>
  <c r="L43" i="7"/>
  <c r="M61" i="7"/>
  <c r="L61" i="7"/>
  <c r="M120" i="7"/>
  <c r="L120" i="7"/>
  <c r="M125" i="7"/>
  <c r="O125" i="7" s="1"/>
  <c r="Q125" i="7" s="1"/>
  <c r="L125" i="7"/>
  <c r="M24" i="7"/>
  <c r="L24" i="7"/>
  <c r="M74" i="7"/>
  <c r="L74" i="7"/>
  <c r="M129" i="7"/>
  <c r="O129" i="7" s="1"/>
  <c r="Q129" i="7" s="1"/>
  <c r="L129" i="7"/>
  <c r="M32" i="7"/>
  <c r="O32" i="7" s="1"/>
  <c r="Q32" i="7" s="1"/>
  <c r="L32" i="7"/>
  <c r="M135" i="7"/>
  <c r="O135" i="7" s="1"/>
  <c r="Q135" i="7" s="1"/>
  <c r="L135" i="7"/>
  <c r="M136" i="7"/>
  <c r="O136" i="7" s="1"/>
  <c r="L136" i="7"/>
  <c r="M106" i="7"/>
  <c r="O106" i="7" s="1"/>
  <c r="Q106" i="7" s="1"/>
  <c r="L106" i="7"/>
  <c r="M113" i="7"/>
  <c r="O113" i="7" s="1"/>
  <c r="Q113" i="7" s="1"/>
  <c r="L113" i="7"/>
  <c r="M85" i="7"/>
  <c r="O85" i="7" s="1"/>
  <c r="Q85" i="7" s="1"/>
  <c r="L85" i="7"/>
  <c r="M101" i="7"/>
  <c r="O101" i="7" s="1"/>
  <c r="L101" i="7"/>
  <c r="M114" i="7"/>
  <c r="O114" i="7" s="1"/>
  <c r="Q114" i="7" s="1"/>
  <c r="L114" i="7"/>
  <c r="M44" i="7"/>
  <c r="O44" i="7" s="1"/>
  <c r="Q44" i="7" s="1"/>
  <c r="L44" i="7"/>
  <c r="M84" i="7"/>
  <c r="O84" i="7" s="1"/>
  <c r="Q84" i="7" s="1"/>
  <c r="L84" i="7"/>
  <c r="M59" i="7"/>
  <c r="O59" i="7" s="1"/>
  <c r="Q59" i="7" s="1"/>
  <c r="L59" i="7"/>
  <c r="M215" i="7"/>
  <c r="O215" i="7" s="1"/>
  <c r="L215" i="7"/>
  <c r="M256" i="7"/>
  <c r="O256" i="7" s="1"/>
  <c r="L256" i="7"/>
  <c r="M55" i="7"/>
  <c r="O55" i="7" s="1"/>
  <c r="Q55" i="7" s="1"/>
  <c r="L55" i="7"/>
  <c r="M126" i="7"/>
  <c r="O126" i="7" s="1"/>
  <c r="Q126" i="7" s="1"/>
  <c r="L126" i="7"/>
  <c r="M217" i="7"/>
  <c r="O217" i="7" s="1"/>
  <c r="L217" i="7"/>
  <c r="M197" i="7"/>
  <c r="O197" i="7" s="1"/>
  <c r="L197" i="7"/>
  <c r="M53" i="7"/>
  <c r="O53" i="7" s="1"/>
  <c r="Q53" i="7" s="1"/>
  <c r="L53" i="7"/>
  <c r="M41" i="7"/>
  <c r="L41" i="7"/>
  <c r="M131" i="7"/>
  <c r="O131" i="7" s="1"/>
  <c r="L131" i="7"/>
  <c r="F234" i="7"/>
  <c r="G234" i="7" s="1"/>
  <c r="H234" i="7" s="1"/>
  <c r="K234" i="7" s="1"/>
  <c r="F192" i="7"/>
  <c r="G192" i="7" s="1"/>
  <c r="H192" i="7" s="1"/>
  <c r="K192" i="7" s="1"/>
  <c r="F162" i="7"/>
  <c r="G162" i="7" s="1"/>
  <c r="H162" i="7" s="1"/>
  <c r="K162" i="7" s="1"/>
  <c r="AM162" i="7" s="1"/>
  <c r="M152" i="7"/>
  <c r="O152" i="7" s="1"/>
  <c r="L152" i="7"/>
  <c r="M145" i="7"/>
  <c r="O145" i="7" s="1"/>
  <c r="L145" i="7"/>
  <c r="M162" i="7"/>
  <c r="O162" i="7" s="1"/>
  <c r="L162" i="7"/>
  <c r="M155" i="7"/>
  <c r="O155" i="7" s="1"/>
  <c r="L155" i="7"/>
  <c r="M157" i="7"/>
  <c r="O157" i="7" s="1"/>
  <c r="L157" i="7"/>
  <c r="F227" i="7"/>
  <c r="G227" i="7" s="1"/>
  <c r="H227" i="7" s="1"/>
  <c r="K227" i="7" s="1"/>
  <c r="AM227" i="7" s="1"/>
  <c r="F257" i="7"/>
  <c r="G257" i="7" s="1"/>
  <c r="H257" i="7" s="1"/>
  <c r="K257" i="7" s="1"/>
  <c r="AM257" i="7" s="1"/>
  <c r="F150" i="7"/>
  <c r="G150" i="7" s="1"/>
  <c r="H150" i="7" s="1"/>
  <c r="K150" i="7" s="1"/>
  <c r="F174" i="7"/>
  <c r="G174" i="7" s="1"/>
  <c r="H174" i="7" s="1"/>
  <c r="K174" i="7" s="1"/>
  <c r="AM174" i="7" s="1"/>
  <c r="F220" i="7"/>
  <c r="G220" i="7" s="1"/>
  <c r="H220" i="7" s="1"/>
  <c r="K220" i="7" s="1"/>
  <c r="F152" i="7"/>
  <c r="G152" i="7" s="1"/>
  <c r="H152" i="7" s="1"/>
  <c r="K152" i="7" s="1"/>
  <c r="AM152" i="7" s="1"/>
  <c r="F213" i="7"/>
  <c r="G213" i="7" s="1"/>
  <c r="H213" i="7" s="1"/>
  <c r="K213" i="7" s="1"/>
  <c r="F157" i="7"/>
  <c r="G157" i="7" s="1"/>
  <c r="H157" i="7" s="1"/>
  <c r="K157" i="7" s="1"/>
  <c r="AM157" i="7" s="1"/>
  <c r="F217" i="7"/>
  <c r="G217" i="7" s="1"/>
  <c r="H217" i="7" s="1"/>
  <c r="K217" i="7" s="1"/>
  <c r="AM217" i="7" s="1"/>
  <c r="F256" i="7"/>
  <c r="G256" i="7" s="1"/>
  <c r="H256" i="7" s="1"/>
  <c r="K256" i="7" s="1"/>
  <c r="AM256" i="7" s="1"/>
  <c r="F215" i="7"/>
  <c r="G215" i="7" s="1"/>
  <c r="H215" i="7" s="1"/>
  <c r="K215" i="7" s="1"/>
  <c r="AM215" i="7" s="1"/>
  <c r="F197" i="7"/>
  <c r="G197" i="7" s="1"/>
  <c r="H197" i="7" s="1"/>
  <c r="K197" i="7" s="1"/>
  <c r="F185" i="7"/>
  <c r="G185" i="7" s="1"/>
  <c r="H185" i="7" s="1"/>
  <c r="K185" i="7" s="1"/>
  <c r="AM185" i="7" s="1"/>
  <c r="F255" i="7"/>
  <c r="G255" i="7" s="1"/>
  <c r="H255" i="7" s="1"/>
  <c r="K255" i="7" s="1"/>
  <c r="AM255" i="7" s="1"/>
  <c r="F206" i="7"/>
  <c r="G206" i="7" s="1"/>
  <c r="H206" i="7" s="1"/>
  <c r="K206" i="7" s="1"/>
  <c r="AM206" i="7" s="1"/>
  <c r="M164" i="7"/>
  <c r="O164" i="7" s="1"/>
  <c r="M242" i="7"/>
  <c r="O242" i="7" s="1"/>
  <c r="M175" i="7"/>
  <c r="O175" i="7" s="1"/>
  <c r="M225" i="7"/>
  <c r="O225" i="7" s="1"/>
  <c r="M250" i="7"/>
  <c r="O250" i="7" s="1"/>
  <c r="M183" i="7"/>
  <c r="O183" i="7" s="1"/>
  <c r="S240" i="7"/>
  <c r="AF240" i="7" s="1"/>
  <c r="M240" i="7"/>
  <c r="O240" i="7" s="1"/>
  <c r="M185" i="7"/>
  <c r="O185" i="7" s="1"/>
  <c r="M34" i="7"/>
  <c r="F240" i="7"/>
  <c r="G240" i="7" s="1"/>
  <c r="H240" i="7" s="1"/>
  <c r="K240" i="7" s="1"/>
  <c r="AM240" i="7" s="1"/>
  <c r="M216" i="7"/>
  <c r="O216" i="7" s="1"/>
  <c r="M246" i="7"/>
  <c r="O246" i="7" s="1"/>
  <c r="M253" i="7"/>
  <c r="O253" i="7" s="1"/>
  <c r="S253" i="7" s="1"/>
  <c r="M223" i="7"/>
  <c r="O223" i="7" s="1"/>
  <c r="S223" i="7" s="1"/>
  <c r="AF223" i="7" s="1"/>
  <c r="M181" i="7"/>
  <c r="O181" i="7" s="1"/>
  <c r="M36" i="7"/>
  <c r="M195" i="7"/>
  <c r="O195" i="7" s="1"/>
  <c r="M39" i="7"/>
  <c r="M257" i="7"/>
  <c r="O257" i="7" s="1"/>
  <c r="M150" i="7"/>
  <c r="O150" i="7" s="1"/>
  <c r="M194" i="7"/>
  <c r="O194" i="7" s="1"/>
  <c r="M239" i="7"/>
  <c r="O239" i="7" s="1"/>
  <c r="M193" i="7"/>
  <c r="O193" i="7" s="1"/>
  <c r="S183" i="7"/>
  <c r="S60" i="7"/>
  <c r="T60" i="7" s="1"/>
  <c r="M224" i="7"/>
  <c r="O224" i="7" s="1"/>
  <c r="M156" i="7"/>
  <c r="O156" i="7" s="1"/>
  <c r="M211" i="7"/>
  <c r="O211" i="7" s="1"/>
  <c r="M247" i="7"/>
  <c r="O247" i="7" s="1"/>
  <c r="S243" i="7"/>
  <c r="M243" i="7"/>
  <c r="O243" i="7" s="1"/>
  <c r="M180" i="7"/>
  <c r="O180" i="7" s="1"/>
  <c r="S210" i="7"/>
  <c r="AF210" i="7" s="1"/>
  <c r="M210" i="7"/>
  <c r="O210" i="7" s="1"/>
  <c r="M190" i="7"/>
  <c r="O190" i="7" s="1"/>
  <c r="M166" i="7"/>
  <c r="O166" i="7" s="1"/>
  <c r="M245" i="7"/>
  <c r="O245" i="7" s="1"/>
  <c r="M209" i="7"/>
  <c r="O209" i="7" s="1"/>
  <c r="F242" i="7"/>
  <c r="G242" i="7" s="1"/>
  <c r="H242" i="7" s="1"/>
  <c r="K242" i="7" s="1"/>
  <c r="AM242" i="7" s="1"/>
  <c r="M254" i="7"/>
  <c r="O254" i="7" s="1"/>
  <c r="M149" i="7"/>
  <c r="O149" i="7" s="1"/>
  <c r="S179" i="7"/>
  <c r="M179" i="7"/>
  <c r="O179" i="7" s="1"/>
  <c r="M212" i="7"/>
  <c r="O212" i="7" s="1"/>
  <c r="M182" i="7"/>
  <c r="O182" i="7" s="1"/>
  <c r="M163" i="7"/>
  <c r="O163" i="7" s="1"/>
  <c r="S163" i="7" s="1"/>
  <c r="AF163" i="7" s="1"/>
  <c r="M151" i="7"/>
  <c r="O151" i="7" s="1"/>
  <c r="M241" i="7"/>
  <c r="O241" i="7" s="1"/>
  <c r="M220" i="7"/>
  <c r="O220" i="7" s="1"/>
  <c r="M196" i="7"/>
  <c r="O196" i="7" s="1"/>
  <c r="M122" i="7"/>
  <c r="O122" i="7" s="1"/>
  <c r="Q122" i="7" s="1"/>
  <c r="S213" i="7"/>
  <c r="M213" i="7"/>
  <c r="O213" i="7" s="1"/>
  <c r="M226" i="7"/>
  <c r="O226" i="7" s="1"/>
  <c r="M64" i="7"/>
  <c r="O64" i="7" s="1"/>
  <c r="Q64" i="7" s="1"/>
  <c r="M176" i="7"/>
  <c r="O176" i="7" s="1"/>
  <c r="M146" i="7"/>
  <c r="O146" i="7" s="1"/>
  <c r="F196" i="7"/>
  <c r="G196" i="7" s="1"/>
  <c r="H196" i="7" s="1"/>
  <c r="K196" i="7" s="1"/>
  <c r="F146" i="7"/>
  <c r="G146" i="7" s="1"/>
  <c r="H146" i="7" s="1"/>
  <c r="K146" i="7" s="1"/>
  <c r="S89" i="7"/>
  <c r="AF89" i="7" s="1"/>
  <c r="R27" i="7"/>
  <c r="P27" i="7"/>
  <c r="S130" i="7"/>
  <c r="T130" i="7" s="1"/>
  <c r="V130" i="7" s="1"/>
  <c r="F243" i="7"/>
  <c r="G243" i="7" s="1"/>
  <c r="H243" i="7" s="1"/>
  <c r="K243" i="7" s="1"/>
  <c r="F176" i="7"/>
  <c r="G176" i="7" s="1"/>
  <c r="H176" i="7" s="1"/>
  <c r="K176" i="7" s="1"/>
  <c r="F245" i="7"/>
  <c r="G245" i="7" s="1"/>
  <c r="H245" i="7" s="1"/>
  <c r="K245" i="7" s="1"/>
  <c r="F226" i="7"/>
  <c r="G226" i="7" s="1"/>
  <c r="H226" i="7" s="1"/>
  <c r="K226" i="7" s="1"/>
  <c r="F182" i="7"/>
  <c r="G182" i="7" s="1"/>
  <c r="H182" i="7" s="1"/>
  <c r="K182" i="7" s="1"/>
  <c r="S68" i="7"/>
  <c r="T68" i="7" s="1"/>
  <c r="F225" i="7"/>
  <c r="G225" i="7" s="1"/>
  <c r="H225" i="7" s="1"/>
  <c r="K225" i="7" s="1"/>
  <c r="F250" i="7"/>
  <c r="G250" i="7" s="1"/>
  <c r="H250" i="7" s="1"/>
  <c r="K250" i="7" s="1"/>
  <c r="AM250" i="7" s="1"/>
  <c r="F155" i="7"/>
  <c r="G155" i="7" s="1"/>
  <c r="H155" i="7" s="1"/>
  <c r="K155" i="7" s="1"/>
  <c r="F183" i="7"/>
  <c r="G183" i="7" s="1"/>
  <c r="H183" i="7" s="1"/>
  <c r="K183" i="7" s="1"/>
  <c r="F195" i="7"/>
  <c r="G195" i="7" s="1"/>
  <c r="H195" i="7" s="1"/>
  <c r="K195" i="7" s="1"/>
  <c r="AM195" i="7" s="1"/>
  <c r="F151" i="7"/>
  <c r="G151" i="7" s="1"/>
  <c r="H151" i="7" s="1"/>
  <c r="K151" i="7" s="1"/>
  <c r="AM151" i="7" s="1"/>
  <c r="F166" i="7"/>
  <c r="G166" i="7" s="1"/>
  <c r="H166" i="7" s="1"/>
  <c r="K166" i="7" s="1"/>
  <c r="AM166" i="7" s="1"/>
  <c r="F205" i="7"/>
  <c r="G205" i="7" s="1"/>
  <c r="H205" i="7" s="1"/>
  <c r="K205" i="7" s="1"/>
  <c r="F253" i="7"/>
  <c r="G253" i="7" s="1"/>
  <c r="H253" i="7" s="1"/>
  <c r="K253" i="7" s="1"/>
  <c r="F211" i="7"/>
  <c r="G211" i="7" s="1"/>
  <c r="H211" i="7" s="1"/>
  <c r="K211" i="7" s="1"/>
  <c r="F163" i="7"/>
  <c r="G163" i="7" s="1"/>
  <c r="H163" i="7" s="1"/>
  <c r="K163" i="7" s="1"/>
  <c r="F254" i="7"/>
  <c r="G254" i="7" s="1"/>
  <c r="H254" i="7" s="1"/>
  <c r="K254" i="7" s="1"/>
  <c r="AM254" i="7" s="1"/>
  <c r="F223" i="7"/>
  <c r="G223" i="7" s="1"/>
  <c r="H223" i="7" s="1"/>
  <c r="K223" i="7" s="1"/>
  <c r="F175" i="7"/>
  <c r="G175" i="7" s="1"/>
  <c r="H175" i="7" s="1"/>
  <c r="K175" i="7" s="1"/>
  <c r="F210" i="7"/>
  <c r="G210" i="7" s="1"/>
  <c r="H210" i="7" s="1"/>
  <c r="K210" i="7" s="1"/>
  <c r="F180" i="7"/>
  <c r="G180" i="7" s="1"/>
  <c r="H180" i="7" s="1"/>
  <c r="K180" i="7" s="1"/>
  <c r="F247" i="7"/>
  <c r="G247" i="7" s="1"/>
  <c r="H247" i="7" s="1"/>
  <c r="K247" i="7" s="1"/>
  <c r="P25" i="7"/>
  <c r="R25" i="7"/>
  <c r="R63" i="7"/>
  <c r="P63" i="7"/>
  <c r="S63" i="7"/>
  <c r="T63" i="7" s="1"/>
  <c r="V63" i="7" s="1"/>
  <c r="R130" i="7"/>
  <c r="P130" i="7"/>
  <c r="O70" i="7"/>
  <c r="P68" i="7"/>
  <c r="R68" i="7"/>
  <c r="P89" i="7"/>
  <c r="R89" i="7"/>
  <c r="O91" i="7"/>
  <c r="Q91" i="7" s="1"/>
  <c r="O56" i="7"/>
  <c r="Q56" i="7" s="1"/>
  <c r="R83" i="7"/>
  <c r="P83" i="7"/>
  <c r="R124" i="7"/>
  <c r="P124" i="7"/>
  <c r="S124" i="7"/>
  <c r="R132" i="7"/>
  <c r="P132" i="7"/>
  <c r="P93" i="7"/>
  <c r="R93" i="7"/>
  <c r="O75" i="7"/>
  <c r="Q75" i="7" s="1"/>
  <c r="R60" i="7"/>
  <c r="P60" i="7"/>
  <c r="F181" i="7"/>
  <c r="G181" i="7" s="1"/>
  <c r="H181" i="7" s="1"/>
  <c r="K181" i="7" s="1"/>
  <c r="F145" i="7"/>
  <c r="G145" i="7" s="1"/>
  <c r="H145" i="7" s="1"/>
  <c r="K145" i="7" s="1"/>
  <c r="AM145" i="7" s="1"/>
  <c r="S25" i="7"/>
  <c r="F241" i="7"/>
  <c r="G241" i="7" s="1"/>
  <c r="H241" i="7" s="1"/>
  <c r="K241" i="7" s="1"/>
  <c r="F156" i="7"/>
  <c r="G156" i="7" s="1"/>
  <c r="H156" i="7" s="1"/>
  <c r="K156" i="7" s="1"/>
  <c r="F149" i="7"/>
  <c r="G149" i="7" s="1"/>
  <c r="H149" i="7" s="1"/>
  <c r="K149" i="7" s="1"/>
  <c r="F179" i="7"/>
  <c r="G179" i="7" s="1"/>
  <c r="H179" i="7" s="1"/>
  <c r="K179" i="7" s="1"/>
  <c r="F193" i="7"/>
  <c r="G193" i="7" s="1"/>
  <c r="H193" i="7" s="1"/>
  <c r="K193" i="7" s="1"/>
  <c r="F212" i="7"/>
  <c r="G212" i="7" s="1"/>
  <c r="H212" i="7" s="1"/>
  <c r="K212" i="7" s="1"/>
  <c r="F164" i="7"/>
  <c r="G164" i="7" s="1"/>
  <c r="H164" i="7" s="1"/>
  <c r="K164" i="7" s="1"/>
  <c r="AM164" i="7" s="1"/>
  <c r="F194" i="7"/>
  <c r="G194" i="7" s="1"/>
  <c r="H194" i="7" s="1"/>
  <c r="K194" i="7" s="1"/>
  <c r="S209" i="7"/>
  <c r="F246" i="7"/>
  <c r="G246" i="7" s="1"/>
  <c r="H246" i="7" s="1"/>
  <c r="K246" i="7" s="1"/>
  <c r="F224" i="7"/>
  <c r="G224" i="7" s="1"/>
  <c r="H224" i="7" s="1"/>
  <c r="K224" i="7" s="1"/>
  <c r="T167" i="7"/>
  <c r="V167" i="7" s="1"/>
  <c r="F209" i="7"/>
  <c r="G209" i="7" s="1"/>
  <c r="H209" i="7" s="1"/>
  <c r="K209" i="7" s="1"/>
  <c r="F239" i="7"/>
  <c r="G239" i="7" s="1"/>
  <c r="H239" i="7" s="1"/>
  <c r="K239" i="7" s="1"/>
  <c r="F216" i="7"/>
  <c r="G216" i="7" s="1"/>
  <c r="H216" i="7" s="1"/>
  <c r="K216" i="7" s="1"/>
  <c r="AM165" i="7"/>
  <c r="R154" i="7"/>
  <c r="AF235" i="7"/>
  <c r="AF208" i="7"/>
  <c r="AF167" i="7"/>
  <c r="AM222" i="7"/>
  <c r="AF238" i="7"/>
  <c r="R208" i="7"/>
  <c r="R222" i="7"/>
  <c r="AM208" i="7"/>
  <c r="AM154" i="7"/>
  <c r="R186" i="7"/>
  <c r="P186" i="7"/>
  <c r="AM187" i="7"/>
  <c r="R187" i="7"/>
  <c r="R218" i="7"/>
  <c r="P154" i="7"/>
  <c r="P208" i="7"/>
  <c r="AM218" i="7"/>
  <c r="P218" i="7"/>
  <c r="AM191" i="7"/>
  <c r="P219" i="7"/>
  <c r="R219" i="7"/>
  <c r="P235" i="7"/>
  <c r="R235" i="7"/>
  <c r="AM235" i="7"/>
  <c r="AM167" i="7"/>
  <c r="R167" i="7"/>
  <c r="P167" i="7"/>
  <c r="AM160" i="7"/>
  <c r="AM153" i="7"/>
  <c r="O38" i="7" l="1"/>
  <c r="S38" i="7" s="1"/>
  <c r="S93" i="7"/>
  <c r="S27" i="7"/>
  <c r="AF27" i="7" s="1"/>
  <c r="S148" i="7"/>
  <c r="T148" i="7" s="1"/>
  <c r="V148" i="7" s="1"/>
  <c r="X148" i="7" s="1"/>
  <c r="Y148" i="7" s="1"/>
  <c r="Z148" i="7" s="1"/>
  <c r="AA148" i="7" s="1"/>
  <c r="T221" i="7"/>
  <c r="W221" i="7" s="1"/>
  <c r="R238" i="7"/>
  <c r="P238" i="7"/>
  <c r="P221" i="7"/>
  <c r="AM238" i="7"/>
  <c r="R221" i="7"/>
  <c r="Q221" i="7"/>
  <c r="T251" i="7"/>
  <c r="W251" i="7" s="1"/>
  <c r="R251" i="7"/>
  <c r="Q251" i="7"/>
  <c r="P214" i="7"/>
  <c r="R214" i="7"/>
  <c r="AF214" i="7" s="1"/>
  <c r="T214" i="7"/>
  <c r="V214" i="7" s="1"/>
  <c r="X214" i="7" s="1"/>
  <c r="Y214" i="7" s="1"/>
  <c r="Z214" i="7" s="1"/>
  <c r="AA214" i="7" s="1"/>
  <c r="P184" i="7"/>
  <c r="Q214" i="7"/>
  <c r="P148" i="7"/>
  <c r="P251" i="7"/>
  <c r="Q207" i="7"/>
  <c r="AL148" i="7"/>
  <c r="Q148" i="7"/>
  <c r="Q184" i="7"/>
  <c r="P236" i="7"/>
  <c r="T184" i="7"/>
  <c r="U184" i="7" s="1"/>
  <c r="S117" i="7"/>
  <c r="AF117" i="7" s="1"/>
  <c r="R178" i="7"/>
  <c r="AM207" i="7"/>
  <c r="P117" i="7"/>
  <c r="R184" i="7"/>
  <c r="R117" i="7"/>
  <c r="S57" i="7"/>
  <c r="AF57" i="7" s="1"/>
  <c r="AL236" i="7"/>
  <c r="P191" i="7"/>
  <c r="T83" i="7"/>
  <c r="V83" i="7" s="1"/>
  <c r="X83" i="7" s="1"/>
  <c r="Y83" i="7" s="1"/>
  <c r="Z83" i="7" s="1"/>
  <c r="AA83" i="7" s="1"/>
  <c r="AG83" i="7" s="1"/>
  <c r="Q178" i="7"/>
  <c r="R244" i="7"/>
  <c r="S134" i="7"/>
  <c r="AF134" i="7" s="1"/>
  <c r="P178" i="7"/>
  <c r="P244" i="7"/>
  <c r="T249" i="7"/>
  <c r="U249" i="7" s="1"/>
  <c r="Q244" i="7"/>
  <c r="Q161" i="7"/>
  <c r="R249" i="7"/>
  <c r="P249" i="7"/>
  <c r="T178" i="7"/>
  <c r="V178" i="7" s="1"/>
  <c r="X178" i="7" s="1"/>
  <c r="Y178" i="7" s="1"/>
  <c r="Z178" i="7" s="1"/>
  <c r="AA178" i="7" s="1"/>
  <c r="AG178" i="7" s="1"/>
  <c r="T244" i="7"/>
  <c r="V244" i="7" s="1"/>
  <c r="X244" i="7" s="1"/>
  <c r="Y244" i="7" s="1"/>
  <c r="Z244" i="7" s="1"/>
  <c r="AA244" i="7" s="1"/>
  <c r="Q249" i="7"/>
  <c r="P57" i="7"/>
  <c r="R57" i="7"/>
  <c r="Q248" i="7"/>
  <c r="S248" i="7"/>
  <c r="T248" i="7" s="1"/>
  <c r="U248" i="7" s="1"/>
  <c r="P248" i="7"/>
  <c r="R189" i="7"/>
  <c r="Q189" i="7"/>
  <c r="R191" i="7"/>
  <c r="AL191" i="7" s="1"/>
  <c r="P207" i="7"/>
  <c r="AL207" i="7"/>
  <c r="P134" i="7"/>
  <c r="R236" i="7"/>
  <c r="R134" i="7"/>
  <c r="T236" i="7"/>
  <c r="W236" i="7" s="1"/>
  <c r="R248" i="7"/>
  <c r="AL248" i="7" s="1"/>
  <c r="P189" i="7"/>
  <c r="T191" i="7"/>
  <c r="W191" i="7" s="1"/>
  <c r="T189" i="7"/>
  <c r="W189" i="7" s="1"/>
  <c r="R188" i="7"/>
  <c r="Q159" i="7"/>
  <c r="O40" i="7"/>
  <c r="S40" i="7" s="1"/>
  <c r="T40" i="7" s="1"/>
  <c r="V40" i="7" s="1"/>
  <c r="X40" i="7" s="1"/>
  <c r="Y40" i="7" s="1"/>
  <c r="Z40" i="7" s="1"/>
  <c r="AA40" i="7" s="1"/>
  <c r="U154" i="7"/>
  <c r="P188" i="7"/>
  <c r="R207" i="7"/>
  <c r="Q236" i="7"/>
  <c r="P87" i="7"/>
  <c r="Q188" i="7"/>
  <c r="AM188" i="7"/>
  <c r="Q213" i="7"/>
  <c r="S87" i="7"/>
  <c r="T87" i="7" s="1"/>
  <c r="W87" i="7" s="1"/>
  <c r="R87" i="7"/>
  <c r="S26" i="7"/>
  <c r="AF26" i="7" s="1"/>
  <c r="Q162" i="7"/>
  <c r="Q149" i="7"/>
  <c r="Q157" i="7"/>
  <c r="Q243" i="7"/>
  <c r="Q252" i="7"/>
  <c r="Q175" i="7"/>
  <c r="Q183" i="7"/>
  <c r="Q152" i="7"/>
  <c r="Q151" i="7"/>
  <c r="Q156" i="7"/>
  <c r="Q164" i="7"/>
  <c r="Q144" i="7"/>
  <c r="Q155" i="7"/>
  <c r="Q145" i="7"/>
  <c r="Q217" i="7"/>
  <c r="Q177" i="7"/>
  <c r="Q147" i="7"/>
  <c r="AF132" i="7"/>
  <c r="W154" i="7"/>
  <c r="S241" i="7"/>
  <c r="T241" i="7" s="1"/>
  <c r="Q241" i="7"/>
  <c r="AL254" i="7"/>
  <c r="Q254" i="7"/>
  <c r="AL180" i="7"/>
  <c r="Q180" i="7"/>
  <c r="AL150" i="7"/>
  <c r="Q150" i="7"/>
  <c r="AL253" i="7"/>
  <c r="Q253" i="7"/>
  <c r="S242" i="7"/>
  <c r="T242" i="7" s="1"/>
  <c r="Q242" i="7"/>
  <c r="AL197" i="7"/>
  <c r="Q197" i="7"/>
  <c r="AL256" i="7"/>
  <c r="Q256" i="7"/>
  <c r="S101" i="7"/>
  <c r="T101" i="7" s="1"/>
  <c r="Q101" i="7"/>
  <c r="S136" i="7"/>
  <c r="AF136" i="7" s="1"/>
  <c r="Q136" i="7"/>
  <c r="AL237" i="7"/>
  <c r="Q237" i="7"/>
  <c r="AL179" i="7"/>
  <c r="Q179" i="7"/>
  <c r="S190" i="7"/>
  <c r="T190" i="7" s="1"/>
  <c r="Q190" i="7"/>
  <c r="AL193" i="7"/>
  <c r="Q193" i="7"/>
  <c r="AL257" i="7"/>
  <c r="Q257" i="7"/>
  <c r="S181" i="7"/>
  <c r="T181" i="7" s="1"/>
  <c r="Q181" i="7"/>
  <c r="S246" i="7"/>
  <c r="T246" i="7" s="1"/>
  <c r="V246" i="7" s="1"/>
  <c r="X246" i="7" s="1"/>
  <c r="Y246" i="7" s="1"/>
  <c r="Z246" i="7" s="1"/>
  <c r="AA246" i="7" s="1"/>
  <c r="AG246" i="7" s="1"/>
  <c r="Q246" i="7"/>
  <c r="S185" i="7"/>
  <c r="T185" i="7" s="1"/>
  <c r="Q185" i="7"/>
  <c r="S250" i="7"/>
  <c r="Q250" i="7"/>
  <c r="S69" i="7"/>
  <c r="T69" i="7" s="1"/>
  <c r="Q69" i="7"/>
  <c r="AL227" i="7"/>
  <c r="Q227" i="7"/>
  <c r="AL255" i="7"/>
  <c r="Q255" i="7"/>
  <c r="S192" i="7"/>
  <c r="T192" i="7" s="1"/>
  <c r="Q192" i="7"/>
  <c r="W186" i="7"/>
  <c r="V186" i="7"/>
  <c r="X186" i="7" s="1"/>
  <c r="Y186" i="7" s="1"/>
  <c r="Z186" i="7" s="1"/>
  <c r="AA186" i="7" s="1"/>
  <c r="AG186" i="7" s="1"/>
  <c r="W208" i="7"/>
  <c r="V208" i="7"/>
  <c r="X208" i="7" s="1"/>
  <c r="Y208" i="7" s="1"/>
  <c r="Z208" i="7" s="1"/>
  <c r="AA208" i="7" s="1"/>
  <c r="AG208" i="7" s="1"/>
  <c r="S158" i="7"/>
  <c r="T158" i="7" s="1"/>
  <c r="Q158" i="7"/>
  <c r="V218" i="7"/>
  <c r="X218" i="7" s="1"/>
  <c r="Y218" i="7" s="1"/>
  <c r="Z218" i="7" s="1"/>
  <c r="AA218" i="7" s="1"/>
  <c r="AL176" i="7"/>
  <c r="Q176" i="7"/>
  <c r="S212" i="7"/>
  <c r="T212" i="7" s="1"/>
  <c r="V212" i="7" s="1"/>
  <c r="X212" i="7" s="1"/>
  <c r="Y212" i="7" s="1"/>
  <c r="Z212" i="7" s="1"/>
  <c r="AA212" i="7" s="1"/>
  <c r="AG212" i="7" s="1"/>
  <c r="Q212" i="7"/>
  <c r="AL166" i="7"/>
  <c r="Q166" i="7"/>
  <c r="S211" i="7"/>
  <c r="T211" i="7" s="1"/>
  <c r="Q211" i="7"/>
  <c r="R37" i="7"/>
  <c r="Q37" i="7"/>
  <c r="V188" i="7"/>
  <c r="X188" i="7" s="1"/>
  <c r="Y188" i="7" s="1"/>
  <c r="Z188" i="7" s="1"/>
  <c r="AA188" i="7" s="1"/>
  <c r="W68" i="7"/>
  <c r="V68" i="7"/>
  <c r="X68" i="7" s="1"/>
  <c r="Y68" i="7" s="1"/>
  <c r="Z68" i="7" s="1"/>
  <c r="AA68" i="7" s="1"/>
  <c r="AL226" i="7"/>
  <c r="Q226" i="7"/>
  <c r="AL196" i="7"/>
  <c r="Q196" i="7"/>
  <c r="AL163" i="7"/>
  <c r="Q163" i="7"/>
  <c r="AL209" i="7"/>
  <c r="Q209" i="7"/>
  <c r="AL210" i="7"/>
  <c r="Q210" i="7"/>
  <c r="AL224" i="7"/>
  <c r="Q224" i="7"/>
  <c r="S239" i="7"/>
  <c r="AF239" i="7" s="1"/>
  <c r="Q239" i="7"/>
  <c r="AL223" i="7"/>
  <c r="Q223" i="7"/>
  <c r="S216" i="7"/>
  <c r="T216" i="7" s="1"/>
  <c r="V216" i="7" s="1"/>
  <c r="X216" i="7" s="1"/>
  <c r="Y216" i="7" s="1"/>
  <c r="Z216" i="7" s="1"/>
  <c r="AA216" i="7" s="1"/>
  <c r="AG216" i="7" s="1"/>
  <c r="Q216" i="7"/>
  <c r="AL240" i="7"/>
  <c r="Q240" i="7"/>
  <c r="AL225" i="7"/>
  <c r="Q225" i="7"/>
  <c r="S131" i="7"/>
  <c r="T131" i="7" s="1"/>
  <c r="W131" i="7" s="1"/>
  <c r="Q131" i="7"/>
  <c r="S215" i="7"/>
  <c r="T215" i="7" s="1"/>
  <c r="V215" i="7" s="1"/>
  <c r="X215" i="7" s="1"/>
  <c r="Y215" i="7" s="1"/>
  <c r="Z215" i="7" s="1"/>
  <c r="AA215" i="7" s="1"/>
  <c r="AG215" i="7" s="1"/>
  <c r="Q215" i="7"/>
  <c r="U235" i="7"/>
  <c r="V235" i="7"/>
  <c r="X235" i="7" s="1"/>
  <c r="Y235" i="7" s="1"/>
  <c r="Z235" i="7" s="1"/>
  <c r="AA235" i="7" s="1"/>
  <c r="V238" i="7"/>
  <c r="X238" i="7" s="1"/>
  <c r="Y238" i="7" s="1"/>
  <c r="Z238" i="7" s="1"/>
  <c r="AA238" i="7" s="1"/>
  <c r="R33" i="7"/>
  <c r="Q33" i="7"/>
  <c r="S100" i="7"/>
  <c r="T100" i="7" s="1"/>
  <c r="Q100" i="7"/>
  <c r="S70" i="7"/>
  <c r="T70" i="7" s="1"/>
  <c r="Q70" i="7"/>
  <c r="W132" i="7"/>
  <c r="V132" i="7"/>
  <c r="X132" i="7" s="1"/>
  <c r="Y132" i="7" s="1"/>
  <c r="Z132" i="7" s="1"/>
  <c r="AA132" i="7" s="1"/>
  <c r="AL146" i="7"/>
  <c r="Q146" i="7"/>
  <c r="S220" i="7"/>
  <c r="T220" i="7" s="1"/>
  <c r="V220" i="7" s="1"/>
  <c r="Q220" i="7"/>
  <c r="S182" i="7"/>
  <c r="T182" i="7" s="1"/>
  <c r="Q182" i="7"/>
  <c r="S245" i="7"/>
  <c r="T245" i="7" s="1"/>
  <c r="V245" i="7" s="1"/>
  <c r="X245" i="7" s="1"/>
  <c r="Y245" i="7" s="1"/>
  <c r="Z245" i="7" s="1"/>
  <c r="AA245" i="7" s="1"/>
  <c r="AG245" i="7" s="1"/>
  <c r="Q245" i="7"/>
  <c r="S247" i="7"/>
  <c r="T247" i="7" s="1"/>
  <c r="V247" i="7" s="1"/>
  <c r="X247" i="7" s="1"/>
  <c r="Y247" i="7" s="1"/>
  <c r="Z247" i="7" s="1"/>
  <c r="AA247" i="7" s="1"/>
  <c r="AG247" i="7" s="1"/>
  <c r="Q247" i="7"/>
  <c r="U60" i="7"/>
  <c r="V60" i="7"/>
  <c r="X60" i="7" s="1"/>
  <c r="Y60" i="7" s="1"/>
  <c r="Z60" i="7" s="1"/>
  <c r="AA60" i="7" s="1"/>
  <c r="AG60" i="7" s="1"/>
  <c r="AL194" i="7"/>
  <c r="Q194" i="7"/>
  <c r="AL195" i="7"/>
  <c r="Q195" i="7"/>
  <c r="W187" i="7"/>
  <c r="V187" i="7"/>
  <c r="X187" i="7" s="1"/>
  <c r="Y187" i="7" s="1"/>
  <c r="Z187" i="7" s="1"/>
  <c r="AA187" i="7" s="1"/>
  <c r="AG187" i="7" s="1"/>
  <c r="S54" i="7"/>
  <c r="AF54" i="7" s="1"/>
  <c r="Q54" i="7"/>
  <c r="R204" i="7"/>
  <c r="Q204" i="7"/>
  <c r="AL174" i="7"/>
  <c r="Q174" i="7"/>
  <c r="AL206" i="7"/>
  <c r="Q206" i="7"/>
  <c r="AL205" i="7"/>
  <c r="Q205" i="7"/>
  <c r="P105" i="7"/>
  <c r="Q105" i="7"/>
  <c r="S99" i="7"/>
  <c r="T99" i="7" s="1"/>
  <c r="Q99" i="7"/>
  <c r="U219" i="7"/>
  <c r="V219" i="7"/>
  <c r="X219" i="7" s="1"/>
  <c r="Y219" i="7" s="1"/>
  <c r="Z219" i="7" s="1"/>
  <c r="AA219" i="7" s="1"/>
  <c r="AG219" i="7" s="1"/>
  <c r="V222" i="7"/>
  <c r="X222" i="7" s="1"/>
  <c r="Y222" i="7" s="1"/>
  <c r="Z222" i="7" s="1"/>
  <c r="AA222" i="7" s="1"/>
  <c r="P38" i="7"/>
  <c r="Q38" i="7"/>
  <c r="S116" i="7"/>
  <c r="AF116" i="7" s="1"/>
  <c r="Q116" i="7"/>
  <c r="T207" i="7"/>
  <c r="P116" i="7"/>
  <c r="U208" i="7"/>
  <c r="R116" i="7"/>
  <c r="S33" i="7"/>
  <c r="T33" i="7" s="1"/>
  <c r="V33" i="7" s="1"/>
  <c r="P147" i="7"/>
  <c r="P33" i="7"/>
  <c r="W238" i="7"/>
  <c r="W235" i="7"/>
  <c r="R252" i="7"/>
  <c r="R237" i="7"/>
  <c r="W218" i="7"/>
  <c r="T237" i="7"/>
  <c r="U218" i="7"/>
  <c r="T37" i="7"/>
  <c r="R26" i="7"/>
  <c r="P26" i="7"/>
  <c r="T147" i="7"/>
  <c r="V147" i="7" s="1"/>
  <c r="X147" i="7" s="1"/>
  <c r="Y147" i="7" s="1"/>
  <c r="Z147" i="7" s="1"/>
  <c r="AA147" i="7" s="1"/>
  <c r="P37" i="7"/>
  <c r="W188" i="7"/>
  <c r="T177" i="7"/>
  <c r="P158" i="7"/>
  <c r="R177" i="7"/>
  <c r="AM158" i="7"/>
  <c r="W219" i="7"/>
  <c r="R174" i="7"/>
  <c r="R158" i="7"/>
  <c r="U222" i="7"/>
  <c r="U187" i="7"/>
  <c r="R205" i="7"/>
  <c r="T38" i="7"/>
  <c r="R38" i="7"/>
  <c r="N203" i="7"/>
  <c r="O24" i="7"/>
  <c r="Q24" i="7" s="1"/>
  <c r="N22" i="7"/>
  <c r="N173" i="7"/>
  <c r="N52" i="7"/>
  <c r="N143" i="7"/>
  <c r="N233" i="7"/>
  <c r="U188" i="7"/>
  <c r="P237" i="7"/>
  <c r="AM147" i="7"/>
  <c r="O234" i="7"/>
  <c r="S234" i="7" s="1"/>
  <c r="AF234" i="7" s="1"/>
  <c r="M233" i="7"/>
  <c r="O41" i="7"/>
  <c r="S41" i="7" s="1"/>
  <c r="O39" i="7"/>
  <c r="S39" i="7" s="1"/>
  <c r="O36" i="7"/>
  <c r="S36" i="7" s="1"/>
  <c r="O34" i="7"/>
  <c r="Q34" i="7" s="1"/>
  <c r="P177" i="7"/>
  <c r="U238" i="7"/>
  <c r="P204" i="7"/>
  <c r="W222" i="7"/>
  <c r="P180" i="7"/>
  <c r="AM234" i="7"/>
  <c r="P190" i="7"/>
  <c r="R256" i="7"/>
  <c r="P256" i="7"/>
  <c r="U186" i="7"/>
  <c r="T253" i="7"/>
  <c r="R190" i="7"/>
  <c r="T209" i="7"/>
  <c r="R192" i="7"/>
  <c r="T205" i="7"/>
  <c r="R23" i="7"/>
  <c r="S180" i="7"/>
  <c r="AF180" i="7" s="1"/>
  <c r="P217" i="7"/>
  <c r="P252" i="7"/>
  <c r="P227" i="7"/>
  <c r="S23" i="7"/>
  <c r="AF23" i="7" s="1"/>
  <c r="R247" i="7"/>
  <c r="S252" i="7"/>
  <c r="T252" i="7" s="1"/>
  <c r="V252" i="7" s="1"/>
  <c r="R131" i="7"/>
  <c r="S150" i="7"/>
  <c r="AF150" i="7" s="1"/>
  <c r="S217" i="7"/>
  <c r="T217" i="7" s="1"/>
  <c r="P131" i="7"/>
  <c r="S162" i="7"/>
  <c r="T162" i="7" s="1"/>
  <c r="V162" i="7" s="1"/>
  <c r="P23" i="7"/>
  <c r="S255" i="7"/>
  <c r="AF255" i="7" s="1"/>
  <c r="S197" i="7"/>
  <c r="S174" i="7"/>
  <c r="S256" i="7"/>
  <c r="P255" i="7"/>
  <c r="R227" i="7"/>
  <c r="S227" i="7"/>
  <c r="AF227" i="7" s="1"/>
  <c r="AL204" i="7"/>
  <c r="S204" i="7"/>
  <c r="AF204" i="7" s="1"/>
  <c r="R162" i="7"/>
  <c r="L52" i="7"/>
  <c r="L82" i="7"/>
  <c r="L143" i="7"/>
  <c r="L112" i="7"/>
  <c r="L203" i="7"/>
  <c r="L173" i="7"/>
  <c r="L233" i="7"/>
  <c r="L22" i="7"/>
  <c r="P162" i="7"/>
  <c r="P215" i="7"/>
  <c r="AM192" i="7"/>
  <c r="P192" i="7"/>
  <c r="R220" i="7"/>
  <c r="S146" i="7"/>
  <c r="AF146" i="7" s="1"/>
  <c r="S226" i="7"/>
  <c r="T226" i="7" s="1"/>
  <c r="S254" i="7"/>
  <c r="AF254" i="7" s="1"/>
  <c r="S224" i="7"/>
  <c r="AF224" i="7" s="1"/>
  <c r="S193" i="7"/>
  <c r="AF193" i="7" s="1"/>
  <c r="S194" i="7"/>
  <c r="T194" i="7" s="1"/>
  <c r="S257" i="7"/>
  <c r="T257" i="7" s="1"/>
  <c r="P174" i="7"/>
  <c r="R215" i="7"/>
  <c r="R255" i="7"/>
  <c r="P213" i="7"/>
  <c r="AM213" i="7"/>
  <c r="R213" i="7"/>
  <c r="S196" i="7"/>
  <c r="AF196" i="7" s="1"/>
  <c r="S166" i="7"/>
  <c r="AF166" i="7" s="1"/>
  <c r="S175" i="7"/>
  <c r="AF175" i="7" s="1"/>
  <c r="AF205" i="7"/>
  <c r="S195" i="7"/>
  <c r="AF195" i="7" s="1"/>
  <c r="S225" i="7"/>
  <c r="T225" i="7" s="1"/>
  <c r="S176" i="7"/>
  <c r="AF176" i="7" s="1"/>
  <c r="R240" i="7"/>
  <c r="P240" i="7"/>
  <c r="AM146" i="7"/>
  <c r="R181" i="7"/>
  <c r="P150" i="7"/>
  <c r="R150" i="7"/>
  <c r="AM150" i="7"/>
  <c r="P220" i="7"/>
  <c r="AM243" i="7"/>
  <c r="P245" i="7"/>
  <c r="AM220" i="7"/>
  <c r="R217" i="7"/>
  <c r="R257" i="7"/>
  <c r="P225" i="7"/>
  <c r="P211" i="7"/>
  <c r="R185" i="7"/>
  <c r="P146" i="7"/>
  <c r="R146" i="7"/>
  <c r="T206" i="7"/>
  <c r="P185" i="7"/>
  <c r="P175" i="7"/>
  <c r="R175" i="7"/>
  <c r="P206" i="7"/>
  <c r="AM175" i="7"/>
  <c r="R166" i="7"/>
  <c r="R206" i="7"/>
  <c r="T223" i="7"/>
  <c r="P196" i="7"/>
  <c r="T183" i="7"/>
  <c r="R197" i="7"/>
  <c r="R245" i="7"/>
  <c r="AM245" i="7"/>
  <c r="R210" i="7"/>
  <c r="R183" i="7"/>
  <c r="AF183" i="7" s="1"/>
  <c r="R182" i="7"/>
  <c r="AL239" i="7"/>
  <c r="T240" i="7"/>
  <c r="V240" i="7" s="1"/>
  <c r="T179" i="7"/>
  <c r="P257" i="7"/>
  <c r="AL175" i="7"/>
  <c r="O173" i="7"/>
  <c r="O203" i="7"/>
  <c r="T213" i="7"/>
  <c r="T243" i="7"/>
  <c r="P197" i="7"/>
  <c r="AM197" i="7"/>
  <c r="AM226" i="7"/>
  <c r="P210" i="7"/>
  <c r="AF179" i="7"/>
  <c r="R163" i="7"/>
  <c r="AM181" i="7"/>
  <c r="AM196" i="7"/>
  <c r="P250" i="7"/>
  <c r="P181" i="7"/>
  <c r="T210" i="7"/>
  <c r="R196" i="7"/>
  <c r="P64" i="7"/>
  <c r="T27" i="7"/>
  <c r="S122" i="7"/>
  <c r="T122" i="7" s="1"/>
  <c r="P122" i="7"/>
  <c r="R122" i="7"/>
  <c r="P209" i="7"/>
  <c r="R119" i="7"/>
  <c r="R64" i="7"/>
  <c r="S64" i="7"/>
  <c r="T64" i="7" s="1"/>
  <c r="P242" i="7"/>
  <c r="R242" i="7"/>
  <c r="P253" i="7"/>
  <c r="P212" i="7"/>
  <c r="T89" i="7"/>
  <c r="P243" i="7"/>
  <c r="AM194" i="7"/>
  <c r="R243" i="7"/>
  <c r="AM155" i="7"/>
  <c r="AM176" i="7"/>
  <c r="P176" i="7"/>
  <c r="R176" i="7"/>
  <c r="S58" i="7"/>
  <c r="AF58" i="7" s="1"/>
  <c r="S62" i="7"/>
  <c r="T62" i="7" s="1"/>
  <c r="V62" i="7" s="1"/>
  <c r="S30" i="7"/>
  <c r="T30" i="7" s="1"/>
  <c r="V30" i="7" s="1"/>
  <c r="S90" i="7"/>
  <c r="T90" i="7" s="1"/>
  <c r="S119" i="7"/>
  <c r="AF119" i="7" s="1"/>
  <c r="AF60" i="7"/>
  <c r="S113" i="7"/>
  <c r="AF113" i="7" s="1"/>
  <c r="P226" i="7"/>
  <c r="R225" i="7"/>
  <c r="S75" i="7"/>
  <c r="AF75" i="7" s="1"/>
  <c r="S71" i="7"/>
  <c r="T71" i="7" s="1"/>
  <c r="S84" i="7"/>
  <c r="AF84" i="7" s="1"/>
  <c r="S59" i="7"/>
  <c r="AF59" i="7" s="1"/>
  <c r="S114" i="7"/>
  <c r="AF114" i="7" s="1"/>
  <c r="S129" i="7"/>
  <c r="T129" i="7" s="1"/>
  <c r="P59" i="7"/>
  <c r="S76" i="7"/>
  <c r="AF76" i="7" s="1"/>
  <c r="S45" i="7"/>
  <c r="AF45" i="7" s="1"/>
  <c r="S53" i="7"/>
  <c r="AF53" i="7" s="1"/>
  <c r="S91" i="7"/>
  <c r="T91" i="7" s="1"/>
  <c r="V91" i="7" s="1"/>
  <c r="R226" i="7"/>
  <c r="P205" i="7"/>
  <c r="AM225" i="7"/>
  <c r="S32" i="7"/>
  <c r="S106" i="7"/>
  <c r="AF106" i="7" s="1"/>
  <c r="S56" i="7"/>
  <c r="AF56" i="7" s="1"/>
  <c r="S86" i="7"/>
  <c r="AF86" i="7" s="1"/>
  <c r="S46" i="7"/>
  <c r="AF46" i="7" s="1"/>
  <c r="S135" i="7"/>
  <c r="AF135" i="7" s="1"/>
  <c r="S105" i="7"/>
  <c r="AF105" i="7" s="1"/>
  <c r="AF130" i="7"/>
  <c r="AM180" i="7"/>
  <c r="R180" i="7"/>
  <c r="AM183" i="7"/>
  <c r="P183" i="7"/>
  <c r="AF253" i="7"/>
  <c r="R254" i="7"/>
  <c r="AM209" i="7"/>
  <c r="AM182" i="7"/>
  <c r="P166" i="7"/>
  <c r="P254" i="7"/>
  <c r="D9" i="9"/>
  <c r="P182" i="7"/>
  <c r="U68" i="7"/>
  <c r="P135" i="7"/>
  <c r="R105" i="7"/>
  <c r="P119" i="7"/>
  <c r="R135" i="7"/>
  <c r="R30" i="7"/>
  <c r="P30" i="7"/>
  <c r="AM205" i="7"/>
  <c r="R59" i="7"/>
  <c r="R250" i="7"/>
  <c r="AM246" i="7"/>
  <c r="P247" i="7"/>
  <c r="U132" i="7"/>
  <c r="S35" i="7"/>
  <c r="T35" i="7" s="1"/>
  <c r="S42" i="7"/>
  <c r="AF42" i="7" s="1"/>
  <c r="M52" i="7"/>
  <c r="M22" i="7"/>
  <c r="X63" i="7"/>
  <c r="Y63" i="7" s="1"/>
  <c r="Z63" i="7" s="1"/>
  <c r="AA63" i="7" s="1"/>
  <c r="W63" i="7"/>
  <c r="P163" i="7"/>
  <c r="R193" i="7"/>
  <c r="AM193" i="7"/>
  <c r="AM163" i="7"/>
  <c r="AM210" i="7"/>
  <c r="R209" i="7"/>
  <c r="P193" i="7"/>
  <c r="R195" i="7"/>
  <c r="AM156" i="7"/>
  <c r="R224" i="7"/>
  <c r="AM253" i="7"/>
  <c r="R253" i="7"/>
  <c r="P195" i="7"/>
  <c r="R223" i="7"/>
  <c r="AM212" i="7"/>
  <c r="U63" i="7"/>
  <c r="P223" i="7"/>
  <c r="D13" i="9"/>
  <c r="AM211" i="7"/>
  <c r="R179" i="7"/>
  <c r="P179" i="7"/>
  <c r="P194" i="7"/>
  <c r="AM223" i="7"/>
  <c r="K173" i="7"/>
  <c r="C7" i="7" s="1"/>
  <c r="R194" i="7"/>
  <c r="R211" i="7"/>
  <c r="AM149" i="7"/>
  <c r="P246" i="7"/>
  <c r="R45" i="7"/>
  <c r="P45" i="7"/>
  <c r="AM247" i="7"/>
  <c r="D15" i="9"/>
  <c r="P241" i="7"/>
  <c r="P46" i="7"/>
  <c r="R46" i="7"/>
  <c r="P71" i="7"/>
  <c r="R71" i="7"/>
  <c r="P106" i="7"/>
  <c r="R106" i="7"/>
  <c r="R67" i="7"/>
  <c r="P67" i="7"/>
  <c r="S67" i="7"/>
  <c r="T124" i="7"/>
  <c r="V124" i="7" s="1"/>
  <c r="AF124" i="7"/>
  <c r="P91" i="7"/>
  <c r="R91" i="7"/>
  <c r="R113" i="7"/>
  <c r="P113" i="7"/>
  <c r="P115" i="7"/>
  <c r="R115" i="7"/>
  <c r="S115" i="7"/>
  <c r="AF115" i="7" s="1"/>
  <c r="R86" i="7"/>
  <c r="P86" i="7"/>
  <c r="P66" i="7"/>
  <c r="R66" i="7"/>
  <c r="S66" i="7"/>
  <c r="T66" i="7" s="1"/>
  <c r="P85" i="7"/>
  <c r="R85" i="7"/>
  <c r="S85" i="7"/>
  <c r="AF85" i="7" s="1"/>
  <c r="O65" i="7"/>
  <c r="Q65" i="7" s="1"/>
  <c r="O133" i="7"/>
  <c r="Q133" i="7" s="1"/>
  <c r="P42" i="7"/>
  <c r="P35" i="7"/>
  <c r="W130" i="7"/>
  <c r="X130" i="7"/>
  <c r="Y130" i="7" s="1"/>
  <c r="Z130" i="7" s="1"/>
  <c r="AA130" i="7" s="1"/>
  <c r="U130" i="7"/>
  <c r="AF63" i="7"/>
  <c r="P125" i="7"/>
  <c r="R125" i="7"/>
  <c r="S125" i="7"/>
  <c r="P114" i="7"/>
  <c r="R114" i="7"/>
  <c r="O103" i="7"/>
  <c r="Q103" i="7" s="1"/>
  <c r="O61" i="7"/>
  <c r="Q61" i="7" s="1"/>
  <c r="R75" i="7"/>
  <c r="P75" i="7"/>
  <c r="R128" i="7"/>
  <c r="P128" i="7"/>
  <c r="S128" i="7"/>
  <c r="R42" i="7"/>
  <c r="R35" i="7"/>
  <c r="O118" i="7"/>
  <c r="Q118" i="7" s="1"/>
  <c r="O121" i="7"/>
  <c r="O72" i="7"/>
  <c r="Q72" i="7" s="1"/>
  <c r="O74" i="7"/>
  <c r="Q74" i="7" s="1"/>
  <c r="P104" i="7"/>
  <c r="R104" i="7"/>
  <c r="S104" i="7"/>
  <c r="AF104" i="7" s="1"/>
  <c r="P123" i="7"/>
  <c r="R123" i="7"/>
  <c r="S123" i="7"/>
  <c r="P100" i="7"/>
  <c r="R100" i="7"/>
  <c r="P69" i="7"/>
  <c r="R69" i="7"/>
  <c r="P96" i="7"/>
  <c r="R96" i="7"/>
  <c r="S96" i="7"/>
  <c r="P53" i="7"/>
  <c r="R53" i="7"/>
  <c r="T93" i="7"/>
  <c r="V93" i="7" s="1"/>
  <c r="AF93" i="7"/>
  <c r="R54" i="7"/>
  <c r="P54" i="7"/>
  <c r="R127" i="7"/>
  <c r="P127" i="7"/>
  <c r="S127" i="7"/>
  <c r="R94" i="7"/>
  <c r="P94" i="7"/>
  <c r="S94" i="7"/>
  <c r="P136" i="7"/>
  <c r="R136" i="7"/>
  <c r="P98" i="7"/>
  <c r="R98" i="7"/>
  <c r="S98" i="7"/>
  <c r="P97" i="7"/>
  <c r="R97" i="7"/>
  <c r="S97" i="7"/>
  <c r="R84" i="7"/>
  <c r="P84" i="7"/>
  <c r="R129" i="7"/>
  <c r="P129" i="7"/>
  <c r="R70" i="7"/>
  <c r="P70" i="7"/>
  <c r="P101" i="7"/>
  <c r="R101" i="7"/>
  <c r="R90" i="7"/>
  <c r="P90" i="7"/>
  <c r="P55" i="7"/>
  <c r="R55" i="7"/>
  <c r="S55" i="7"/>
  <c r="AF55" i="7" s="1"/>
  <c r="P76" i="7"/>
  <c r="R76" i="7"/>
  <c r="R126" i="7"/>
  <c r="P126" i="7"/>
  <c r="S126" i="7"/>
  <c r="T126" i="7" s="1"/>
  <c r="V126" i="7" s="1"/>
  <c r="P99" i="7"/>
  <c r="R99" i="7"/>
  <c r="O88" i="7"/>
  <c r="O73" i="7"/>
  <c r="O102" i="7"/>
  <c r="Q102" i="7" s="1"/>
  <c r="O95" i="7"/>
  <c r="Q95" i="7" s="1"/>
  <c r="O120" i="7"/>
  <c r="Q120" i="7" s="1"/>
  <c r="O92" i="7"/>
  <c r="U83" i="7"/>
  <c r="R56" i="7"/>
  <c r="P56" i="7"/>
  <c r="AF68" i="7"/>
  <c r="P62" i="7"/>
  <c r="R62" i="7"/>
  <c r="AF209" i="7"/>
  <c r="T163" i="7"/>
  <c r="AF25" i="7"/>
  <c r="T25" i="7"/>
  <c r="V25" i="7" s="1"/>
  <c r="P224" i="7"/>
  <c r="AM241" i="7"/>
  <c r="R241" i="7"/>
  <c r="D7" i="9"/>
  <c r="K143" i="7"/>
  <c r="C6" i="7" s="1"/>
  <c r="C12" i="7" s="1"/>
  <c r="AM179" i="7"/>
  <c r="D10" i="9"/>
  <c r="D6" i="9"/>
  <c r="D16" i="9"/>
  <c r="AM224" i="7"/>
  <c r="R212" i="7"/>
  <c r="W60" i="7"/>
  <c r="R246" i="7"/>
  <c r="P216" i="7"/>
  <c r="S151" i="7"/>
  <c r="T151" i="7" s="1"/>
  <c r="V151" i="7" s="1"/>
  <c r="R156" i="7"/>
  <c r="S156" i="7"/>
  <c r="T156" i="7" s="1"/>
  <c r="AL144" i="7"/>
  <c r="S144" i="7"/>
  <c r="T144" i="7" s="1"/>
  <c r="V144" i="7" s="1"/>
  <c r="P159" i="7"/>
  <c r="S159" i="7"/>
  <c r="T159" i="7" s="1"/>
  <c r="R239" i="7"/>
  <c r="P239" i="7"/>
  <c r="S155" i="7"/>
  <c r="T155" i="7" s="1"/>
  <c r="S161" i="7"/>
  <c r="T161" i="7" s="1"/>
  <c r="V161" i="7" s="1"/>
  <c r="S160" i="7"/>
  <c r="T160" i="7" s="1"/>
  <c r="AL145" i="7"/>
  <c r="S145" i="7"/>
  <c r="AF145" i="7" s="1"/>
  <c r="U167" i="7"/>
  <c r="W167" i="7"/>
  <c r="R145" i="7"/>
  <c r="K233" i="7"/>
  <c r="C9" i="7" s="1"/>
  <c r="K203" i="7"/>
  <c r="C8" i="7" s="1"/>
  <c r="D12" i="9"/>
  <c r="S31" i="7"/>
  <c r="R159" i="7"/>
  <c r="S43" i="7"/>
  <c r="AF43" i="7" s="1"/>
  <c r="R160" i="7"/>
  <c r="R216" i="7"/>
  <c r="S28" i="7"/>
  <c r="AF28" i="7" s="1"/>
  <c r="AM239" i="7"/>
  <c r="AM216" i="7"/>
  <c r="P144" i="7"/>
  <c r="P145" i="7"/>
  <c r="R144" i="7"/>
  <c r="R151" i="7"/>
  <c r="P160" i="7"/>
  <c r="AF221" i="7"/>
  <c r="R155" i="7"/>
  <c r="AL154" i="7"/>
  <c r="AF218" i="7"/>
  <c r="AF213" i="7"/>
  <c r="R161" i="7"/>
  <c r="P161" i="7"/>
  <c r="P155" i="7"/>
  <c r="P156" i="7"/>
  <c r="P151" i="7"/>
  <c r="AF222" i="7"/>
  <c r="AF243" i="7"/>
  <c r="AF251" i="7"/>
  <c r="AL222" i="7"/>
  <c r="AF154" i="7"/>
  <c r="AL187" i="7"/>
  <c r="AL218" i="7"/>
  <c r="AF187" i="7"/>
  <c r="AF191" i="7"/>
  <c r="AF186" i="7"/>
  <c r="AL219" i="7"/>
  <c r="AF219" i="7"/>
  <c r="X154" i="7"/>
  <c r="Y154" i="7" s="1"/>
  <c r="Z154" i="7" s="1"/>
  <c r="AA154" i="7" s="1"/>
  <c r="X167" i="7"/>
  <c r="Y167" i="7" s="1"/>
  <c r="Z167" i="7" s="1"/>
  <c r="AA167" i="7" s="1"/>
  <c r="AL221" i="7"/>
  <c r="V87" i="7" l="1"/>
  <c r="X87" i="7" s="1"/>
  <c r="Y87" i="7" s="1"/>
  <c r="Z87" i="7" s="1"/>
  <c r="AA87" i="7" s="1"/>
  <c r="AF148" i="7"/>
  <c r="W83" i="7"/>
  <c r="AF249" i="7"/>
  <c r="V221" i="7"/>
  <c r="X221" i="7" s="1"/>
  <c r="Y221" i="7" s="1"/>
  <c r="Z221" i="7" s="1"/>
  <c r="AA221" i="7" s="1"/>
  <c r="AG221" i="7" s="1"/>
  <c r="U221" i="7"/>
  <c r="AL251" i="7"/>
  <c r="T57" i="7"/>
  <c r="V57" i="7" s="1"/>
  <c r="X57" i="7" s="1"/>
  <c r="Y57" i="7" s="1"/>
  <c r="Z57" i="7" s="1"/>
  <c r="AA57" i="7" s="1"/>
  <c r="AL184" i="7"/>
  <c r="T117" i="7"/>
  <c r="U117" i="7" s="1"/>
  <c r="AF87" i="7"/>
  <c r="T134" i="7"/>
  <c r="V134" i="7" s="1"/>
  <c r="X134" i="7" s="1"/>
  <c r="Y134" i="7" s="1"/>
  <c r="Z134" i="7" s="1"/>
  <c r="AA134" i="7" s="1"/>
  <c r="AG134" i="7" s="1"/>
  <c r="U87" i="7"/>
  <c r="U251" i="7"/>
  <c r="V251" i="7"/>
  <c r="X251" i="7" s="1"/>
  <c r="Y251" i="7" s="1"/>
  <c r="Z251" i="7" s="1"/>
  <c r="AA251" i="7" s="1"/>
  <c r="AB251" i="7" s="1"/>
  <c r="AE251" i="7" s="1"/>
  <c r="AF244" i="7"/>
  <c r="U214" i="7"/>
  <c r="AL214" i="7"/>
  <c r="AF184" i="7"/>
  <c r="W214" i="7"/>
  <c r="W178" i="7"/>
  <c r="AF189" i="7"/>
  <c r="W148" i="7"/>
  <c r="W184" i="7"/>
  <c r="V184" i="7"/>
  <c r="X184" i="7" s="1"/>
  <c r="Y184" i="7" s="1"/>
  <c r="Z184" i="7" s="1"/>
  <c r="AA184" i="7" s="1"/>
  <c r="AG184" i="7" s="1"/>
  <c r="W249" i="7"/>
  <c r="V236" i="7"/>
  <c r="X236" i="7" s="1"/>
  <c r="Y236" i="7" s="1"/>
  <c r="Z236" i="7" s="1"/>
  <c r="AA236" i="7" s="1"/>
  <c r="AG236" i="7" s="1"/>
  <c r="U178" i="7"/>
  <c r="U189" i="7"/>
  <c r="U148" i="7"/>
  <c r="AL244" i="7"/>
  <c r="U244" i="7"/>
  <c r="V249" i="7"/>
  <c r="X249" i="7" s="1"/>
  <c r="Y249" i="7" s="1"/>
  <c r="Z249" i="7" s="1"/>
  <c r="AA249" i="7" s="1"/>
  <c r="AG249" i="7" s="1"/>
  <c r="AL249" i="7"/>
  <c r="T136" i="7"/>
  <c r="W136" i="7" s="1"/>
  <c r="W244" i="7"/>
  <c r="AF38" i="7"/>
  <c r="W212" i="7"/>
  <c r="V191" i="7"/>
  <c r="X191" i="7" s="1"/>
  <c r="Y191" i="7" s="1"/>
  <c r="Z191" i="7" s="1"/>
  <c r="AA191" i="7" s="1"/>
  <c r="AG191" i="7" s="1"/>
  <c r="U236" i="7"/>
  <c r="U212" i="7"/>
  <c r="V189" i="7"/>
  <c r="X189" i="7" s="1"/>
  <c r="Y189" i="7" s="1"/>
  <c r="Z189" i="7" s="1"/>
  <c r="AA189" i="7" s="1"/>
  <c r="AG189" i="7" s="1"/>
  <c r="AF188" i="7"/>
  <c r="AL189" i="7"/>
  <c r="AF248" i="7"/>
  <c r="AL188" i="7"/>
  <c r="AF37" i="7"/>
  <c r="W248" i="7"/>
  <c r="V248" i="7"/>
  <c r="X248" i="7" s="1"/>
  <c r="Y248" i="7" s="1"/>
  <c r="Z248" i="7" s="1"/>
  <c r="AA248" i="7" s="1"/>
  <c r="AG248" i="7" s="1"/>
  <c r="AF158" i="7"/>
  <c r="P40" i="7"/>
  <c r="R40" i="7"/>
  <c r="U191" i="7"/>
  <c r="Q40" i="7"/>
  <c r="T54" i="7"/>
  <c r="U54" i="7" s="1"/>
  <c r="AF211" i="7"/>
  <c r="AF220" i="7"/>
  <c r="W40" i="7"/>
  <c r="W245" i="7"/>
  <c r="AF250" i="7"/>
  <c r="U245" i="7"/>
  <c r="S24" i="7"/>
  <c r="AF24" i="7" s="1"/>
  <c r="U40" i="7"/>
  <c r="S34" i="7"/>
  <c r="T34" i="7" s="1"/>
  <c r="T26" i="7"/>
  <c r="W26" i="7" s="1"/>
  <c r="W247" i="7"/>
  <c r="U247" i="7"/>
  <c r="AF216" i="7"/>
  <c r="W215" i="7"/>
  <c r="W216" i="7"/>
  <c r="U216" i="7"/>
  <c r="T239" i="7"/>
  <c r="V239" i="7" s="1"/>
  <c r="X239" i="7" s="1"/>
  <c r="Y239" i="7" s="1"/>
  <c r="Z239" i="7" s="1"/>
  <c r="AA239" i="7" s="1"/>
  <c r="AG239" i="7" s="1"/>
  <c r="U215" i="7"/>
  <c r="AG235" i="7"/>
  <c r="AB235" i="7"/>
  <c r="AE235" i="7" s="1"/>
  <c r="T250" i="7"/>
  <c r="U250" i="7" s="1"/>
  <c r="AF190" i="7"/>
  <c r="U246" i="7"/>
  <c r="AG68" i="7"/>
  <c r="U147" i="7"/>
  <c r="AF192" i="7"/>
  <c r="U131" i="7"/>
  <c r="T116" i="7"/>
  <c r="U116" i="7" s="1"/>
  <c r="W147" i="7"/>
  <c r="W246" i="7"/>
  <c r="AF131" i="7"/>
  <c r="AL158" i="7"/>
  <c r="AG238" i="7"/>
  <c r="AB238" i="7"/>
  <c r="AE238" i="7" s="1"/>
  <c r="AG188" i="7"/>
  <c r="AB188" i="7"/>
  <c r="AE188" i="7" s="1"/>
  <c r="AG40" i="7"/>
  <c r="AB40" i="7"/>
  <c r="AD40" i="7" s="1"/>
  <c r="AG244" i="7"/>
  <c r="AB244" i="7"/>
  <c r="AD244" i="7" s="1"/>
  <c r="AB221" i="7"/>
  <c r="AD221" i="7" s="1"/>
  <c r="AG87" i="7"/>
  <c r="AB87" i="7"/>
  <c r="AC87" i="7" s="1"/>
  <c r="AG214" i="7"/>
  <c r="AB214" i="7"/>
  <c r="AC214" i="7" s="1"/>
  <c r="AG222" i="7"/>
  <c r="AB222" i="7"/>
  <c r="AD222" i="7" s="1"/>
  <c r="AG218" i="7"/>
  <c r="AB218" i="7"/>
  <c r="AE218" i="7" s="1"/>
  <c r="W159" i="7"/>
  <c r="V159" i="7"/>
  <c r="X159" i="7" s="1"/>
  <c r="Y159" i="7" s="1"/>
  <c r="Z159" i="7" s="1"/>
  <c r="AA159" i="7" s="1"/>
  <c r="AG159" i="7" s="1"/>
  <c r="W69" i="7"/>
  <c r="V69" i="7"/>
  <c r="X69" i="7" s="1"/>
  <c r="Y69" i="7" s="1"/>
  <c r="Z69" i="7" s="1"/>
  <c r="AA69" i="7" s="1"/>
  <c r="AB69" i="7" s="1"/>
  <c r="U100" i="7"/>
  <c r="V100" i="7"/>
  <c r="X100" i="7" s="1"/>
  <c r="Y100" i="7" s="1"/>
  <c r="Z100" i="7" s="1"/>
  <c r="AA100" i="7" s="1"/>
  <c r="AG100" i="7" s="1"/>
  <c r="U243" i="7"/>
  <c r="V243" i="7"/>
  <c r="X243" i="7" s="1"/>
  <c r="Y243" i="7" s="1"/>
  <c r="Z243" i="7" s="1"/>
  <c r="AA243" i="7" s="1"/>
  <c r="AG243" i="7" s="1"/>
  <c r="U190" i="7"/>
  <c r="V190" i="7"/>
  <c r="X190" i="7" s="1"/>
  <c r="Y190" i="7" s="1"/>
  <c r="Z190" i="7" s="1"/>
  <c r="AA190" i="7" s="1"/>
  <c r="V192" i="7"/>
  <c r="X192" i="7" s="1"/>
  <c r="Y192" i="7" s="1"/>
  <c r="Z192" i="7" s="1"/>
  <c r="AA192" i="7" s="1"/>
  <c r="W217" i="7"/>
  <c r="V217" i="7"/>
  <c r="X217" i="7" s="1"/>
  <c r="Y217" i="7" s="1"/>
  <c r="Z217" i="7" s="1"/>
  <c r="AA217" i="7" s="1"/>
  <c r="AG217" i="7" s="1"/>
  <c r="AL234" i="7"/>
  <c r="Q234" i="7"/>
  <c r="Q233" i="7" s="1"/>
  <c r="U177" i="7"/>
  <c r="V177" i="7"/>
  <c r="X177" i="7" s="1"/>
  <c r="Y177" i="7" s="1"/>
  <c r="Z177" i="7" s="1"/>
  <c r="AA177" i="7" s="1"/>
  <c r="AG177" i="7" s="1"/>
  <c r="V160" i="7"/>
  <c r="X160" i="7" s="1"/>
  <c r="Y160" i="7" s="1"/>
  <c r="Z160" i="7" s="1"/>
  <c r="AA160" i="7" s="1"/>
  <c r="W163" i="7"/>
  <c r="V163" i="7"/>
  <c r="X163" i="7" s="1"/>
  <c r="Y163" i="7" s="1"/>
  <c r="Z163" i="7" s="1"/>
  <c r="AA163" i="7" s="1"/>
  <c r="AG163" i="7" s="1"/>
  <c r="V66" i="7"/>
  <c r="X66" i="7" s="1"/>
  <c r="Y66" i="7" s="1"/>
  <c r="Z66" i="7" s="1"/>
  <c r="AA66" i="7" s="1"/>
  <c r="AB66" i="7" s="1"/>
  <c r="AD66" i="7" s="1"/>
  <c r="W99" i="7"/>
  <c r="V99" i="7"/>
  <c r="X99" i="7" s="1"/>
  <c r="Y99" i="7" s="1"/>
  <c r="Z99" i="7" s="1"/>
  <c r="AA99" i="7" s="1"/>
  <c r="AB99" i="7" s="1"/>
  <c r="AD99" i="7" s="1"/>
  <c r="U64" i="7"/>
  <c r="V64" i="7"/>
  <c r="X64" i="7" s="1"/>
  <c r="Y64" i="7" s="1"/>
  <c r="Z64" i="7" s="1"/>
  <c r="AA64" i="7" s="1"/>
  <c r="AB64" i="7" s="1"/>
  <c r="AD64" i="7" s="1"/>
  <c r="U213" i="7"/>
  <c r="V213" i="7"/>
  <c r="X213" i="7" s="1"/>
  <c r="Y213" i="7" s="1"/>
  <c r="Z213" i="7" s="1"/>
  <c r="AA213" i="7" s="1"/>
  <c r="AG213" i="7" s="1"/>
  <c r="U179" i="7"/>
  <c r="V179" i="7"/>
  <c r="X179" i="7" s="1"/>
  <c r="Y179" i="7" s="1"/>
  <c r="Z179" i="7" s="1"/>
  <c r="AA179" i="7" s="1"/>
  <c r="AG179" i="7" s="1"/>
  <c r="V241" i="7"/>
  <c r="X241" i="7" s="1"/>
  <c r="Y241" i="7" s="1"/>
  <c r="Z241" i="7" s="1"/>
  <c r="AA241" i="7" s="1"/>
  <c r="W183" i="7"/>
  <c r="V183" i="7"/>
  <c r="X183" i="7" s="1"/>
  <c r="Y183" i="7" s="1"/>
  <c r="Z183" i="7" s="1"/>
  <c r="AA183" i="7" s="1"/>
  <c r="AG183" i="7" s="1"/>
  <c r="W206" i="7"/>
  <c r="V206" i="7"/>
  <c r="X206" i="7" s="1"/>
  <c r="Y206" i="7" s="1"/>
  <c r="Z206" i="7" s="1"/>
  <c r="AA206" i="7" s="1"/>
  <c r="AG206" i="7" s="1"/>
  <c r="U225" i="7"/>
  <c r="V225" i="7"/>
  <c r="X225" i="7" s="1"/>
  <c r="Y225" i="7" s="1"/>
  <c r="Z225" i="7" s="1"/>
  <c r="AA225" i="7" s="1"/>
  <c r="AG225" i="7" s="1"/>
  <c r="U257" i="7"/>
  <c r="V257" i="7"/>
  <c r="X257" i="7" s="1"/>
  <c r="Y257" i="7" s="1"/>
  <c r="Z257" i="7" s="1"/>
  <c r="AA257" i="7" s="1"/>
  <c r="AG257" i="7" s="1"/>
  <c r="W209" i="7"/>
  <c r="V209" i="7"/>
  <c r="X209" i="7" s="1"/>
  <c r="Y209" i="7" s="1"/>
  <c r="Z209" i="7" s="1"/>
  <c r="AA209" i="7" s="1"/>
  <c r="AG209" i="7" s="1"/>
  <c r="V131" i="7"/>
  <c r="X131" i="7" s="1"/>
  <c r="Y131" i="7" s="1"/>
  <c r="Z131" i="7" s="1"/>
  <c r="AA131" i="7" s="1"/>
  <c r="W156" i="7"/>
  <c r="V156" i="7"/>
  <c r="X156" i="7" s="1"/>
  <c r="Y156" i="7" s="1"/>
  <c r="Z156" i="7" s="1"/>
  <c r="AA156" i="7" s="1"/>
  <c r="AB156" i="7" s="1"/>
  <c r="S88" i="7"/>
  <c r="AF88" i="7" s="1"/>
  <c r="Q88" i="7"/>
  <c r="R39" i="7"/>
  <c r="Q39" i="7"/>
  <c r="U207" i="7"/>
  <c r="V207" i="7"/>
  <c r="X207" i="7" s="1"/>
  <c r="Y207" i="7" s="1"/>
  <c r="Z207" i="7" s="1"/>
  <c r="AA207" i="7" s="1"/>
  <c r="AG207" i="7" s="1"/>
  <c r="W207" i="7"/>
  <c r="S121" i="7"/>
  <c r="T121" i="7" s="1"/>
  <c r="Q121" i="7"/>
  <c r="U70" i="7"/>
  <c r="V70" i="7"/>
  <c r="X70" i="7" s="1"/>
  <c r="Y70" i="7" s="1"/>
  <c r="Z70" i="7" s="1"/>
  <c r="AA70" i="7" s="1"/>
  <c r="AG70" i="7" s="1"/>
  <c r="W101" i="7"/>
  <c r="V101" i="7"/>
  <c r="X101" i="7" s="1"/>
  <c r="Y101" i="7" s="1"/>
  <c r="Z101" i="7" s="1"/>
  <c r="AA101" i="7" s="1"/>
  <c r="AG101" i="7" s="1"/>
  <c r="W129" i="7"/>
  <c r="V129" i="7"/>
  <c r="X129" i="7" s="1"/>
  <c r="Y129" i="7" s="1"/>
  <c r="Z129" i="7" s="1"/>
  <c r="AA129" i="7" s="1"/>
  <c r="AB129" i="7" s="1"/>
  <c r="AD129" i="7" s="1"/>
  <c r="W71" i="7"/>
  <c r="V71" i="7"/>
  <c r="X71" i="7" s="1"/>
  <c r="Y71" i="7" s="1"/>
  <c r="Z71" i="7" s="1"/>
  <c r="AA71" i="7" s="1"/>
  <c r="AG71" i="7" s="1"/>
  <c r="U122" i="7"/>
  <c r="V122" i="7"/>
  <c r="X122" i="7" s="1"/>
  <c r="Y122" i="7" s="1"/>
  <c r="Z122" i="7" s="1"/>
  <c r="AA122" i="7" s="1"/>
  <c r="AB122" i="7" s="1"/>
  <c r="AD122" i="7" s="1"/>
  <c r="U242" i="7"/>
  <c r="V242" i="7"/>
  <c r="X242" i="7" s="1"/>
  <c r="Y242" i="7" s="1"/>
  <c r="Z242" i="7" s="1"/>
  <c r="AA242" i="7" s="1"/>
  <c r="AG242" i="7" s="1"/>
  <c r="U185" i="7"/>
  <c r="V185" i="7"/>
  <c r="X185" i="7" s="1"/>
  <c r="Y185" i="7" s="1"/>
  <c r="Z185" i="7" s="1"/>
  <c r="AA185" i="7" s="1"/>
  <c r="W194" i="7"/>
  <c r="V194" i="7"/>
  <c r="X194" i="7" s="1"/>
  <c r="Y194" i="7" s="1"/>
  <c r="Z194" i="7" s="1"/>
  <c r="AA194" i="7" s="1"/>
  <c r="AG194" i="7" s="1"/>
  <c r="V226" i="7"/>
  <c r="X226" i="7" s="1"/>
  <c r="Y226" i="7" s="1"/>
  <c r="Z226" i="7" s="1"/>
  <c r="AA226" i="7" s="1"/>
  <c r="P41" i="7"/>
  <c r="Q41" i="7"/>
  <c r="W38" i="7"/>
  <c r="V38" i="7"/>
  <c r="X38" i="7" s="1"/>
  <c r="Y38" i="7" s="1"/>
  <c r="Z38" i="7" s="1"/>
  <c r="AA38" i="7" s="1"/>
  <c r="U237" i="7"/>
  <c r="V237" i="7"/>
  <c r="X237" i="7" s="1"/>
  <c r="Y237" i="7" s="1"/>
  <c r="Z237" i="7" s="1"/>
  <c r="AA237" i="7" s="1"/>
  <c r="AG237" i="7" s="1"/>
  <c r="W210" i="7"/>
  <c r="V210" i="7"/>
  <c r="X210" i="7" s="1"/>
  <c r="Y210" i="7" s="1"/>
  <c r="Z210" i="7" s="1"/>
  <c r="AA210" i="7" s="1"/>
  <c r="AG210" i="7" s="1"/>
  <c r="W155" i="7"/>
  <c r="V155" i="7"/>
  <c r="X155" i="7" s="1"/>
  <c r="Y155" i="7" s="1"/>
  <c r="Z155" i="7" s="1"/>
  <c r="AA155" i="7" s="1"/>
  <c r="AG155" i="7" s="1"/>
  <c r="S92" i="7"/>
  <c r="T92" i="7" s="1"/>
  <c r="Q92" i="7"/>
  <c r="S73" i="7"/>
  <c r="AF73" i="7" s="1"/>
  <c r="Q73" i="7"/>
  <c r="U35" i="7"/>
  <c r="V35" i="7"/>
  <c r="X35" i="7" s="1"/>
  <c r="Y35" i="7" s="1"/>
  <c r="Z35" i="7" s="1"/>
  <c r="AA35" i="7" s="1"/>
  <c r="AB35" i="7" s="1"/>
  <c r="AD35" i="7" s="1"/>
  <c r="W90" i="7"/>
  <c r="V90" i="7"/>
  <c r="X90" i="7" s="1"/>
  <c r="Y90" i="7" s="1"/>
  <c r="Z90" i="7" s="1"/>
  <c r="AA90" i="7" s="1"/>
  <c r="AG90" i="7" s="1"/>
  <c r="V89" i="7"/>
  <c r="X89" i="7" s="1"/>
  <c r="Y89" i="7" s="1"/>
  <c r="Z89" i="7" s="1"/>
  <c r="AA89" i="7" s="1"/>
  <c r="W27" i="7"/>
  <c r="V27" i="7"/>
  <c r="X27" i="7" s="1"/>
  <c r="Y27" i="7" s="1"/>
  <c r="Z27" i="7" s="1"/>
  <c r="AA27" i="7" s="1"/>
  <c r="AG27" i="7" s="1"/>
  <c r="W211" i="7"/>
  <c r="V211" i="7"/>
  <c r="X211" i="7" s="1"/>
  <c r="Y211" i="7" s="1"/>
  <c r="Z211" i="7" s="1"/>
  <c r="AA211" i="7" s="1"/>
  <c r="AG211" i="7" s="1"/>
  <c r="W181" i="7"/>
  <c r="V181" i="7"/>
  <c r="X181" i="7" s="1"/>
  <c r="Y181" i="7" s="1"/>
  <c r="Z181" i="7" s="1"/>
  <c r="AA181" i="7" s="1"/>
  <c r="AG181" i="7" s="1"/>
  <c r="U223" i="7"/>
  <c r="V223" i="7"/>
  <c r="X223" i="7" s="1"/>
  <c r="Y223" i="7" s="1"/>
  <c r="Z223" i="7" s="1"/>
  <c r="AA223" i="7" s="1"/>
  <c r="AG223" i="7" s="1"/>
  <c r="V182" i="7"/>
  <c r="X182" i="7" s="1"/>
  <c r="Y182" i="7" s="1"/>
  <c r="Z182" i="7" s="1"/>
  <c r="AA182" i="7" s="1"/>
  <c r="V205" i="7"/>
  <c r="X205" i="7" s="1"/>
  <c r="Y205" i="7" s="1"/>
  <c r="Z205" i="7" s="1"/>
  <c r="AA205" i="7" s="1"/>
  <c r="U253" i="7"/>
  <c r="V253" i="7"/>
  <c r="X253" i="7" s="1"/>
  <c r="Y253" i="7" s="1"/>
  <c r="Z253" i="7" s="1"/>
  <c r="AA253" i="7" s="1"/>
  <c r="AG253" i="7" s="1"/>
  <c r="P36" i="7"/>
  <c r="Q36" i="7"/>
  <c r="V158" i="7"/>
  <c r="X158" i="7" s="1"/>
  <c r="Y158" i="7" s="1"/>
  <c r="Z158" i="7" s="1"/>
  <c r="AA158" i="7" s="1"/>
  <c r="V37" i="7"/>
  <c r="X37" i="7" s="1"/>
  <c r="Y37" i="7" s="1"/>
  <c r="Z37" i="7" s="1"/>
  <c r="AA37" i="7" s="1"/>
  <c r="AB37" i="7" s="1"/>
  <c r="R36" i="7"/>
  <c r="W33" i="7"/>
  <c r="X33" i="7"/>
  <c r="Y33" i="7" s="1"/>
  <c r="Z33" i="7" s="1"/>
  <c r="U33" i="7"/>
  <c r="AF33" i="7"/>
  <c r="AB186" i="7"/>
  <c r="AD186" i="7" s="1"/>
  <c r="U38" i="7"/>
  <c r="R41" i="7"/>
  <c r="AL252" i="7"/>
  <c r="W237" i="7"/>
  <c r="U37" i="7"/>
  <c r="W37" i="7"/>
  <c r="R24" i="7"/>
  <c r="P34" i="7"/>
  <c r="O233" i="7"/>
  <c r="AB219" i="7"/>
  <c r="P24" i="7"/>
  <c r="R34" i="7"/>
  <c r="W177" i="7"/>
  <c r="W158" i="7"/>
  <c r="U158" i="7"/>
  <c r="R234" i="7"/>
  <c r="R233" i="7" s="1"/>
  <c r="P234" i="7"/>
  <c r="P233" i="7" s="1"/>
  <c r="AB208" i="7"/>
  <c r="P39" i="7"/>
  <c r="T41" i="7"/>
  <c r="T39" i="7"/>
  <c r="T234" i="7"/>
  <c r="V234" i="7" s="1"/>
  <c r="AB187" i="7"/>
  <c r="AL190" i="7"/>
  <c r="W253" i="7"/>
  <c r="T180" i="7"/>
  <c r="T150" i="7"/>
  <c r="T23" i="7"/>
  <c r="AL215" i="7"/>
  <c r="AF162" i="7"/>
  <c r="U209" i="7"/>
  <c r="T166" i="7"/>
  <c r="T146" i="7"/>
  <c r="U205" i="7"/>
  <c r="W205" i="7"/>
  <c r="AL192" i="7"/>
  <c r="AL162" i="7"/>
  <c r="T255" i="7"/>
  <c r="U192" i="7"/>
  <c r="W192" i="7"/>
  <c r="AF252" i="7"/>
  <c r="T193" i="7"/>
  <c r="AF247" i="7"/>
  <c r="T176" i="7"/>
  <c r="T204" i="7"/>
  <c r="X162" i="7"/>
  <c r="Y162" i="7" s="1"/>
  <c r="Z162" i="7" s="1"/>
  <c r="AA162" i="7" s="1"/>
  <c r="AG162" i="7" s="1"/>
  <c r="U162" i="7"/>
  <c r="W162" i="7"/>
  <c r="AF182" i="7"/>
  <c r="AF217" i="7"/>
  <c r="U217" i="7"/>
  <c r="AF226" i="7"/>
  <c r="T174" i="7"/>
  <c r="V174" i="7" s="1"/>
  <c r="AF174" i="7"/>
  <c r="AF185" i="7"/>
  <c r="U252" i="7"/>
  <c r="W252" i="7"/>
  <c r="X252" i="7"/>
  <c r="Y252" i="7" s="1"/>
  <c r="Z252" i="7" s="1"/>
  <c r="AA252" i="7" s="1"/>
  <c r="AF197" i="7"/>
  <c r="T197" i="7"/>
  <c r="V197" i="7" s="1"/>
  <c r="AF245" i="7"/>
  <c r="T227" i="7"/>
  <c r="V227" i="7" s="1"/>
  <c r="AF256" i="7"/>
  <c r="T256" i="7"/>
  <c r="V256" i="7" s="1"/>
  <c r="B25" i="1"/>
  <c r="B33" i="1" s="1"/>
  <c r="T196" i="7"/>
  <c r="AL220" i="7"/>
  <c r="T224" i="7"/>
  <c r="S233" i="7"/>
  <c r="AF225" i="7"/>
  <c r="AF194" i="7"/>
  <c r="S203" i="7"/>
  <c r="T254" i="7"/>
  <c r="AF257" i="7"/>
  <c r="AF242" i="7"/>
  <c r="T195" i="7"/>
  <c r="AF215" i="7"/>
  <c r="S173" i="7"/>
  <c r="T175" i="7"/>
  <c r="V175" i="7" s="1"/>
  <c r="AB245" i="7"/>
  <c r="AD245" i="7" s="1"/>
  <c r="U194" i="7"/>
  <c r="AL217" i="7"/>
  <c r="T46" i="7"/>
  <c r="U27" i="7"/>
  <c r="U210" i="7"/>
  <c r="W257" i="7"/>
  <c r="W213" i="7"/>
  <c r="T45" i="7"/>
  <c r="AL185" i="7"/>
  <c r="U226" i="7"/>
  <c r="W241" i="7"/>
  <c r="C93" i="9"/>
  <c r="U206" i="7"/>
  <c r="U241" i="7"/>
  <c r="AL245" i="7"/>
  <c r="W179" i="7"/>
  <c r="W225" i="7"/>
  <c r="W243" i="7"/>
  <c r="U181" i="7"/>
  <c r="U183" i="7"/>
  <c r="W226" i="7"/>
  <c r="U211" i="7"/>
  <c r="AB216" i="7"/>
  <c r="W182" i="7"/>
  <c r="W223" i="7"/>
  <c r="W242" i="7"/>
  <c r="U182" i="7"/>
  <c r="W185" i="7"/>
  <c r="W190" i="7"/>
  <c r="W240" i="7"/>
  <c r="U240" i="7"/>
  <c r="X240" i="7"/>
  <c r="Y240" i="7" s="1"/>
  <c r="Z240" i="7" s="1"/>
  <c r="AA240" i="7" s="1"/>
  <c r="C102" i="9"/>
  <c r="U220" i="7"/>
  <c r="X220" i="7"/>
  <c r="Y220" i="7" s="1"/>
  <c r="Z220" i="7" s="1"/>
  <c r="AA220" i="7" s="1"/>
  <c r="W220" i="7"/>
  <c r="AB215" i="7"/>
  <c r="AL250" i="7"/>
  <c r="AF246" i="7"/>
  <c r="AF212" i="7"/>
  <c r="AF241" i="7"/>
  <c r="AL160" i="7"/>
  <c r="T106" i="7"/>
  <c r="U89" i="7"/>
  <c r="AF62" i="7"/>
  <c r="T86" i="7"/>
  <c r="T76" i="7"/>
  <c r="T75" i="7"/>
  <c r="T84" i="7"/>
  <c r="W122" i="7"/>
  <c r="W89" i="7"/>
  <c r="AF122" i="7"/>
  <c r="W64" i="7"/>
  <c r="AF64" i="7"/>
  <c r="AL181" i="7"/>
  <c r="AF181" i="7"/>
  <c r="T105" i="7"/>
  <c r="AL243" i="7"/>
  <c r="D17" i="9"/>
  <c r="AM173" i="7"/>
  <c r="AF70" i="7"/>
  <c r="T58" i="7"/>
  <c r="AF101" i="7"/>
  <c r="U129" i="7"/>
  <c r="AF90" i="7"/>
  <c r="T119" i="7"/>
  <c r="T56" i="7"/>
  <c r="T114" i="7"/>
  <c r="AF99" i="7"/>
  <c r="AF69" i="7"/>
  <c r="T113" i="7"/>
  <c r="T59" i="7"/>
  <c r="AF129" i="7"/>
  <c r="AF30" i="7"/>
  <c r="AF100" i="7"/>
  <c r="S61" i="7"/>
  <c r="T61" i="7" s="1"/>
  <c r="S133" i="7"/>
  <c r="AF133" i="7" s="1"/>
  <c r="S29" i="7"/>
  <c r="AF29" i="7" s="1"/>
  <c r="AF91" i="7"/>
  <c r="AF71" i="7"/>
  <c r="S120" i="7"/>
  <c r="T120" i="7" s="1"/>
  <c r="V120" i="7" s="1"/>
  <c r="S103" i="7"/>
  <c r="AF103" i="7" s="1"/>
  <c r="Q173" i="7"/>
  <c r="U99" i="7"/>
  <c r="S118" i="7"/>
  <c r="AF118" i="7" s="1"/>
  <c r="T53" i="7"/>
  <c r="T135" i="7"/>
  <c r="W70" i="7"/>
  <c r="C94" i="9"/>
  <c r="AL211" i="7"/>
  <c r="AL183" i="7"/>
  <c r="U163" i="7"/>
  <c r="D11" i="9"/>
  <c r="AB68" i="7"/>
  <c r="U69" i="7"/>
  <c r="W35" i="7"/>
  <c r="W100" i="7"/>
  <c r="R173" i="7"/>
  <c r="P173" i="7"/>
  <c r="AM143" i="7"/>
  <c r="AG63" i="7"/>
  <c r="AG132" i="7"/>
  <c r="AB132" i="7"/>
  <c r="AD132" i="7" s="1"/>
  <c r="AB212" i="7"/>
  <c r="U101" i="7"/>
  <c r="T42" i="7"/>
  <c r="AL242" i="7"/>
  <c r="AL186" i="7"/>
  <c r="AB63" i="7"/>
  <c r="AD63" i="7" s="1"/>
  <c r="D8" i="9"/>
  <c r="U71" i="7"/>
  <c r="D9" i="3"/>
  <c r="L9" i="3" s="1"/>
  <c r="AM233" i="7"/>
  <c r="D18" i="9"/>
  <c r="AF35" i="7"/>
  <c r="AL247" i="7"/>
  <c r="AL159" i="7"/>
  <c r="AL241" i="7"/>
  <c r="AB246" i="7"/>
  <c r="AB247" i="7"/>
  <c r="P29" i="7"/>
  <c r="R29" i="7"/>
  <c r="AF128" i="7"/>
  <c r="U90" i="7"/>
  <c r="T115" i="7"/>
  <c r="V115" i="7" s="1"/>
  <c r="AL213" i="7"/>
  <c r="T104" i="7"/>
  <c r="O82" i="7"/>
  <c r="D8" i="7" s="1"/>
  <c r="E11" i="3" s="1"/>
  <c r="T85" i="7"/>
  <c r="V85" i="7" s="1"/>
  <c r="AF94" i="7"/>
  <c r="O112" i="7"/>
  <c r="U126" i="7"/>
  <c r="W126" i="7"/>
  <c r="X126" i="7"/>
  <c r="Y126" i="7" s="1"/>
  <c r="Z126" i="7" s="1"/>
  <c r="AA126" i="7" s="1"/>
  <c r="AB126" i="7" s="1"/>
  <c r="AD126" i="7" s="1"/>
  <c r="T127" i="7"/>
  <c r="V127" i="7" s="1"/>
  <c r="AF127" i="7"/>
  <c r="P121" i="7"/>
  <c r="R121" i="7"/>
  <c r="P61" i="7"/>
  <c r="R61" i="7"/>
  <c r="P133" i="7"/>
  <c r="R133" i="7"/>
  <c r="AF67" i="7"/>
  <c r="T67" i="7"/>
  <c r="V67" i="7" s="1"/>
  <c r="W66" i="7"/>
  <c r="R120" i="7"/>
  <c r="P120" i="7"/>
  <c r="R102" i="7"/>
  <c r="P102" i="7"/>
  <c r="S102" i="7"/>
  <c r="R88" i="7"/>
  <c r="P88" i="7"/>
  <c r="T97" i="7"/>
  <c r="V97" i="7" s="1"/>
  <c r="AF97" i="7"/>
  <c r="AF98" i="7"/>
  <c r="T98" i="7"/>
  <c r="V98" i="7" s="1"/>
  <c r="T94" i="7"/>
  <c r="V94" i="7" s="1"/>
  <c r="AF96" i="7"/>
  <c r="T96" i="7"/>
  <c r="V96" i="7" s="1"/>
  <c r="AG130" i="7"/>
  <c r="AB130" i="7"/>
  <c r="AD130" i="7" s="1"/>
  <c r="AB83" i="7"/>
  <c r="U66" i="7"/>
  <c r="AF126" i="7"/>
  <c r="R72" i="7"/>
  <c r="P72" i="7"/>
  <c r="S72" i="7"/>
  <c r="AF72" i="7" s="1"/>
  <c r="P58" i="7"/>
  <c r="R58" i="7"/>
  <c r="R103" i="7"/>
  <c r="P103" i="7"/>
  <c r="P65" i="7"/>
  <c r="R65" i="7"/>
  <c r="S65" i="7"/>
  <c r="AF66" i="7"/>
  <c r="U91" i="7"/>
  <c r="X91" i="7"/>
  <c r="Y91" i="7" s="1"/>
  <c r="Z91" i="7" s="1"/>
  <c r="AA91" i="7" s="1"/>
  <c r="W91" i="7"/>
  <c r="T128" i="7"/>
  <c r="V128" i="7" s="1"/>
  <c r="U93" i="7"/>
  <c r="W93" i="7"/>
  <c r="X93" i="7"/>
  <c r="Y93" i="7" s="1"/>
  <c r="Z93" i="7" s="1"/>
  <c r="AA93" i="7" s="1"/>
  <c r="R74" i="7"/>
  <c r="P74" i="7"/>
  <c r="S74" i="7"/>
  <c r="AF74" i="7" s="1"/>
  <c r="R118" i="7"/>
  <c r="P118" i="7"/>
  <c r="AL182" i="7"/>
  <c r="U62" i="7"/>
  <c r="W62" i="7"/>
  <c r="X62" i="7"/>
  <c r="Y62" i="7" s="1"/>
  <c r="Z62" i="7" s="1"/>
  <c r="AA62" i="7" s="1"/>
  <c r="P92" i="7"/>
  <c r="R92" i="7"/>
  <c r="P95" i="7"/>
  <c r="R95" i="7"/>
  <c r="S95" i="7"/>
  <c r="T95" i="7" s="1"/>
  <c r="V95" i="7" s="1"/>
  <c r="R73" i="7"/>
  <c r="P73" i="7"/>
  <c r="O52" i="7"/>
  <c r="D7" i="7" s="1"/>
  <c r="E10" i="3" s="1"/>
  <c r="T123" i="7"/>
  <c r="V123" i="7" s="1"/>
  <c r="AF123" i="7"/>
  <c r="T125" i="7"/>
  <c r="V125" i="7" s="1"/>
  <c r="AF125" i="7"/>
  <c r="U124" i="7"/>
  <c r="W124" i="7"/>
  <c r="X124" i="7"/>
  <c r="Y124" i="7" s="1"/>
  <c r="Z124" i="7" s="1"/>
  <c r="AA124" i="7" s="1"/>
  <c r="T55" i="7"/>
  <c r="V55" i="7" s="1"/>
  <c r="AL212" i="7"/>
  <c r="R203" i="7"/>
  <c r="C109" i="9"/>
  <c r="P203" i="7"/>
  <c r="C101" i="9"/>
  <c r="Q203" i="7"/>
  <c r="AL216" i="7"/>
  <c r="P44" i="7"/>
  <c r="R44" i="7"/>
  <c r="S44" i="7"/>
  <c r="P32" i="7"/>
  <c r="T32" i="7"/>
  <c r="V32" i="7" s="1"/>
  <c r="R32" i="7"/>
  <c r="D19" i="9"/>
  <c r="AB60" i="7"/>
  <c r="AD60" i="7" s="1"/>
  <c r="X25" i="7"/>
  <c r="Y25" i="7" s="1"/>
  <c r="Z25" i="7" s="1"/>
  <c r="AA25" i="7" s="1"/>
  <c r="AG25" i="7" s="1"/>
  <c r="U25" i="7"/>
  <c r="W25" i="7"/>
  <c r="AM203" i="7"/>
  <c r="T36" i="7"/>
  <c r="V36" i="7" s="1"/>
  <c r="S157" i="7"/>
  <c r="P157" i="7"/>
  <c r="R157" i="7"/>
  <c r="AB178" i="7"/>
  <c r="AL246" i="7"/>
  <c r="D14" i="9"/>
  <c r="AF155" i="7"/>
  <c r="AF160" i="7"/>
  <c r="AF151" i="7"/>
  <c r="T145" i="7"/>
  <c r="V145" i="7" s="1"/>
  <c r="AF161" i="7"/>
  <c r="U151" i="7"/>
  <c r="W151" i="7"/>
  <c r="X151" i="7"/>
  <c r="Y151" i="7" s="1"/>
  <c r="Z151" i="7" s="1"/>
  <c r="AA151" i="7" s="1"/>
  <c r="AG151" i="7" s="1"/>
  <c r="X161" i="7"/>
  <c r="Y161" i="7" s="1"/>
  <c r="Z161" i="7" s="1"/>
  <c r="AA161" i="7" s="1"/>
  <c r="AG161" i="7" s="1"/>
  <c r="U161" i="7"/>
  <c r="W161" i="7"/>
  <c r="AF156" i="7"/>
  <c r="AF144" i="7"/>
  <c r="U155" i="7"/>
  <c r="U30" i="7"/>
  <c r="W30" i="7"/>
  <c r="X30" i="7"/>
  <c r="Y30" i="7" s="1"/>
  <c r="Z30" i="7" s="1"/>
  <c r="AA30" i="7" s="1"/>
  <c r="AF159" i="7"/>
  <c r="U159" i="7"/>
  <c r="S152" i="7"/>
  <c r="T31" i="7"/>
  <c r="V31" i="7" s="1"/>
  <c r="P31" i="7"/>
  <c r="R31" i="7"/>
  <c r="AL156" i="7"/>
  <c r="S149" i="7"/>
  <c r="AF149" i="7" s="1"/>
  <c r="P28" i="7"/>
  <c r="R28" i="7"/>
  <c r="T28" i="7"/>
  <c r="V28" i="7" s="1"/>
  <c r="O22" i="7"/>
  <c r="S164" i="7"/>
  <c r="AF164" i="7" s="1"/>
  <c r="P43" i="7"/>
  <c r="R43" i="7"/>
  <c r="T43" i="7"/>
  <c r="V43" i="7" s="1"/>
  <c r="U156" i="7"/>
  <c r="W144" i="7"/>
  <c r="X144" i="7"/>
  <c r="Y144" i="7" s="1"/>
  <c r="Z144" i="7" s="1"/>
  <c r="AA144" i="7" s="1"/>
  <c r="AB144" i="7" s="1"/>
  <c r="AD144" i="7" s="1"/>
  <c r="U144" i="7"/>
  <c r="AL155" i="7"/>
  <c r="AL161" i="7"/>
  <c r="U160" i="7"/>
  <c r="W160" i="7"/>
  <c r="AL151" i="7"/>
  <c r="AG148" i="7"/>
  <c r="AB148" i="7"/>
  <c r="AG154" i="7"/>
  <c r="AB154" i="7"/>
  <c r="C13" i="7"/>
  <c r="D10" i="3"/>
  <c r="D20" i="3"/>
  <c r="C15" i="7"/>
  <c r="D12" i="3"/>
  <c r="AG167" i="7"/>
  <c r="AB167" i="7"/>
  <c r="AG147" i="7"/>
  <c r="AB147" i="7"/>
  <c r="AD147" i="7" s="1"/>
  <c r="D11" i="3"/>
  <c r="C14" i="7"/>
  <c r="U57" i="7" l="1"/>
  <c r="W57" i="7"/>
  <c r="W117" i="7"/>
  <c r="V117" i="7"/>
  <c r="X117" i="7" s="1"/>
  <c r="Y117" i="7" s="1"/>
  <c r="Z117" i="7" s="1"/>
  <c r="AA117" i="7" s="1"/>
  <c r="AG117" i="7" s="1"/>
  <c r="U136" i="7"/>
  <c r="AG251" i="7"/>
  <c r="AG38" i="7"/>
  <c r="V136" i="7"/>
  <c r="X136" i="7" s="1"/>
  <c r="Y136" i="7" s="1"/>
  <c r="Z136" i="7" s="1"/>
  <c r="AA136" i="7" s="1"/>
  <c r="AG136" i="7" s="1"/>
  <c r="U134" i="7"/>
  <c r="AB184" i="7"/>
  <c r="AD184" i="7" s="1"/>
  <c r="W134" i="7"/>
  <c r="AB249" i="7"/>
  <c r="AD249" i="7" s="1"/>
  <c r="AB236" i="7"/>
  <c r="AE236" i="7" s="1"/>
  <c r="AB191" i="7"/>
  <c r="AC191" i="7" s="1"/>
  <c r="AB189" i="7"/>
  <c r="AC189" i="7" s="1"/>
  <c r="AF40" i="7"/>
  <c r="V116" i="7"/>
  <c r="X116" i="7" s="1"/>
  <c r="Y116" i="7" s="1"/>
  <c r="Z116" i="7" s="1"/>
  <c r="AA116" i="7" s="1"/>
  <c r="AG116" i="7" s="1"/>
  <c r="AB248" i="7"/>
  <c r="AD248" i="7" s="1"/>
  <c r="AC235" i="7"/>
  <c r="AD235" i="7"/>
  <c r="V54" i="7"/>
  <c r="X54" i="7" s="1"/>
  <c r="Y54" i="7" s="1"/>
  <c r="Z54" i="7" s="1"/>
  <c r="AA54" i="7" s="1"/>
  <c r="AG54" i="7" s="1"/>
  <c r="W54" i="7"/>
  <c r="T24" i="7"/>
  <c r="V24" i="7" s="1"/>
  <c r="X24" i="7" s="1"/>
  <c r="Y24" i="7" s="1"/>
  <c r="Z24" i="7" s="1"/>
  <c r="AA24" i="7" s="1"/>
  <c r="V26" i="7"/>
  <c r="X26" i="7" s="1"/>
  <c r="Y26" i="7" s="1"/>
  <c r="Z26" i="7" s="1"/>
  <c r="AA26" i="7" s="1"/>
  <c r="AG26" i="7" s="1"/>
  <c r="AF39" i="7"/>
  <c r="AH235" i="7"/>
  <c r="AI235" i="7" s="1"/>
  <c r="AF41" i="7"/>
  <c r="U239" i="7"/>
  <c r="AF36" i="7"/>
  <c r="AF34" i="7"/>
  <c r="U26" i="7"/>
  <c r="AC238" i="7"/>
  <c r="D37" i="13"/>
  <c r="C5" i="14" s="1"/>
  <c r="AB207" i="7"/>
  <c r="AH207" i="7" s="1"/>
  <c r="AI207" i="7" s="1"/>
  <c r="AC251" i="7"/>
  <c r="AC218" i="7"/>
  <c r="AH40" i="7"/>
  <c r="AI40" i="7" s="1"/>
  <c r="V250" i="7"/>
  <c r="X250" i="7" s="1"/>
  <c r="Y250" i="7" s="1"/>
  <c r="Z250" i="7" s="1"/>
  <c r="AA250" i="7" s="1"/>
  <c r="AG250" i="7" s="1"/>
  <c r="AC186" i="7"/>
  <c r="AH186" i="7"/>
  <c r="AI186" i="7" s="1"/>
  <c r="W239" i="7"/>
  <c r="W250" i="7"/>
  <c r="T73" i="7"/>
  <c r="V73" i="7" s="1"/>
  <c r="X73" i="7" s="1"/>
  <c r="Y73" i="7" s="1"/>
  <c r="Z73" i="7" s="1"/>
  <c r="AA73" i="7" s="1"/>
  <c r="AG73" i="7" s="1"/>
  <c r="AE40" i="7"/>
  <c r="AE214" i="7"/>
  <c r="AH221" i="7"/>
  <c r="AI221" i="7" s="1"/>
  <c r="AE221" i="7"/>
  <c r="AC221" i="7"/>
  <c r="AC40" i="7"/>
  <c r="T88" i="7"/>
  <c r="V88" i="7" s="1"/>
  <c r="X88" i="7" s="1"/>
  <c r="Y88" i="7" s="1"/>
  <c r="Z88" i="7" s="1"/>
  <c r="AA88" i="7" s="1"/>
  <c r="AG88" i="7" s="1"/>
  <c r="C110" i="9"/>
  <c r="C111" i="9" s="1"/>
  <c r="AE244" i="7"/>
  <c r="AE186" i="7"/>
  <c r="AB182" i="7"/>
  <c r="AD182" i="7" s="1"/>
  <c r="AG182" i="7"/>
  <c r="AG158" i="7"/>
  <c r="AB158" i="7"/>
  <c r="AD158" i="7" s="1"/>
  <c r="W116" i="7"/>
  <c r="AC222" i="7"/>
  <c r="AG226" i="7"/>
  <c r="AB226" i="7"/>
  <c r="AE226" i="7" s="1"/>
  <c r="AG131" i="7"/>
  <c r="AB131" i="7"/>
  <c r="AG57" i="7"/>
  <c r="AB57" i="7"/>
  <c r="AE57" i="7" s="1"/>
  <c r="AG241" i="7"/>
  <c r="AB241" i="7"/>
  <c r="AE241" i="7" s="1"/>
  <c r="AD37" i="7"/>
  <c r="AC37" i="7"/>
  <c r="AE37" i="7"/>
  <c r="AH37" i="7"/>
  <c r="AI37" i="7" s="1"/>
  <c r="V92" i="7"/>
  <c r="X92" i="7" s="1"/>
  <c r="Y92" i="7" s="1"/>
  <c r="Z92" i="7" s="1"/>
  <c r="AA92" i="7" s="1"/>
  <c r="AB92" i="7" s="1"/>
  <c r="AD92" i="7" s="1"/>
  <c r="AG89" i="7"/>
  <c r="AB89" i="7"/>
  <c r="AC89" i="7" s="1"/>
  <c r="AG205" i="7"/>
  <c r="AB205" i="7"/>
  <c r="AE205" i="7" s="1"/>
  <c r="W121" i="7"/>
  <c r="V121" i="7"/>
  <c r="X121" i="7" s="1"/>
  <c r="Y121" i="7" s="1"/>
  <c r="Z121" i="7" s="1"/>
  <c r="AA121" i="7" s="1"/>
  <c r="AG121" i="7" s="1"/>
  <c r="AH156" i="7"/>
  <c r="AI156" i="7" s="1"/>
  <c r="AD156" i="7"/>
  <c r="AG160" i="7"/>
  <c r="AB160" i="7"/>
  <c r="AG192" i="7"/>
  <c r="AB192" i="7"/>
  <c r="AE192" i="7" s="1"/>
  <c r="AH87" i="7"/>
  <c r="AI87" i="7" s="1"/>
  <c r="AD87" i="7"/>
  <c r="AE222" i="7"/>
  <c r="AH83" i="7"/>
  <c r="AI83" i="7" s="1"/>
  <c r="AD83" i="7"/>
  <c r="AH247" i="7"/>
  <c r="AI247" i="7" s="1"/>
  <c r="AD247" i="7"/>
  <c r="AH69" i="7"/>
  <c r="AI69" i="7" s="1"/>
  <c r="AD69" i="7"/>
  <c r="W53" i="7"/>
  <c r="V53" i="7"/>
  <c r="X53" i="7" s="1"/>
  <c r="Y53" i="7" s="1"/>
  <c r="Z53" i="7" s="1"/>
  <c r="AA53" i="7" s="1"/>
  <c r="AG53" i="7" s="1"/>
  <c r="V119" i="7"/>
  <c r="X119" i="7" s="1"/>
  <c r="Y119" i="7" s="1"/>
  <c r="Z119" i="7" s="1"/>
  <c r="AA119" i="7" s="1"/>
  <c r="V58" i="7"/>
  <c r="X58" i="7" s="1"/>
  <c r="Y58" i="7" s="1"/>
  <c r="Z58" i="7" s="1"/>
  <c r="AA58" i="7" s="1"/>
  <c r="AG58" i="7" s="1"/>
  <c r="V105" i="7"/>
  <c r="X105" i="7" s="1"/>
  <c r="Y105" i="7" s="1"/>
  <c r="Z105" i="7" s="1"/>
  <c r="AA105" i="7" s="1"/>
  <c r="V86" i="7"/>
  <c r="X86" i="7" s="1"/>
  <c r="Y86" i="7" s="1"/>
  <c r="Z86" i="7" s="1"/>
  <c r="AA86" i="7" s="1"/>
  <c r="AG86" i="7" s="1"/>
  <c r="AC188" i="7"/>
  <c r="AH222" i="7"/>
  <c r="AI222" i="7" s="1"/>
  <c r="AH244" i="7"/>
  <c r="AI244" i="7" s="1"/>
  <c r="V195" i="7"/>
  <c r="X195" i="7" s="1"/>
  <c r="Y195" i="7" s="1"/>
  <c r="Z195" i="7" s="1"/>
  <c r="AA195" i="7" s="1"/>
  <c r="V224" i="7"/>
  <c r="X224" i="7" s="1"/>
  <c r="Y224" i="7" s="1"/>
  <c r="Z224" i="7" s="1"/>
  <c r="AA224" i="7" s="1"/>
  <c r="W176" i="7"/>
  <c r="V176" i="7"/>
  <c r="X176" i="7" s="1"/>
  <c r="Y176" i="7" s="1"/>
  <c r="Z176" i="7" s="1"/>
  <c r="AA176" i="7" s="1"/>
  <c r="AG176" i="7" s="1"/>
  <c r="V193" i="7"/>
  <c r="X193" i="7" s="1"/>
  <c r="Y193" i="7" s="1"/>
  <c r="Z193" i="7" s="1"/>
  <c r="AA193" i="7" s="1"/>
  <c r="W255" i="7"/>
  <c r="V255" i="7"/>
  <c r="X255" i="7" s="1"/>
  <c r="Y255" i="7" s="1"/>
  <c r="Z255" i="7" s="1"/>
  <c r="AA255" i="7" s="1"/>
  <c r="AG255" i="7" s="1"/>
  <c r="W23" i="7"/>
  <c r="V23" i="7"/>
  <c r="X23" i="7" s="1"/>
  <c r="Y23" i="7" s="1"/>
  <c r="Z23" i="7" s="1"/>
  <c r="AA23" i="7" s="1"/>
  <c r="AG23" i="7" s="1"/>
  <c r="AH208" i="7"/>
  <c r="AI208" i="7" s="1"/>
  <c r="AD208" i="7"/>
  <c r="AG37" i="7"/>
  <c r="AH148" i="7"/>
  <c r="AI148" i="7" s="1"/>
  <c r="AD148" i="7"/>
  <c r="W76" i="7"/>
  <c r="V76" i="7"/>
  <c r="X76" i="7" s="1"/>
  <c r="Y76" i="7" s="1"/>
  <c r="Z76" i="7" s="1"/>
  <c r="AA76" i="7" s="1"/>
  <c r="AB76" i="7" s="1"/>
  <c r="AD76" i="7" s="1"/>
  <c r="W254" i="7"/>
  <c r="V254" i="7"/>
  <c r="X254" i="7" s="1"/>
  <c r="Y254" i="7" s="1"/>
  <c r="Z254" i="7" s="1"/>
  <c r="AA254" i="7" s="1"/>
  <c r="AG254" i="7" s="1"/>
  <c r="AH187" i="7"/>
  <c r="AI187" i="7" s="1"/>
  <c r="AD187" i="7"/>
  <c r="AC244" i="7"/>
  <c r="AH167" i="7"/>
  <c r="AI167" i="7" s="1"/>
  <c r="AD167" i="7"/>
  <c r="AH154" i="7"/>
  <c r="AI154" i="7" s="1"/>
  <c r="AD154" i="7"/>
  <c r="AG66" i="7"/>
  <c r="AH246" i="7"/>
  <c r="AI246" i="7" s="1"/>
  <c r="AD246" i="7"/>
  <c r="AE87" i="7"/>
  <c r="V84" i="7"/>
  <c r="X84" i="7" s="1"/>
  <c r="Y84" i="7" s="1"/>
  <c r="Z84" i="7" s="1"/>
  <c r="AA84" i="7" s="1"/>
  <c r="AH216" i="7"/>
  <c r="AI216" i="7" s="1"/>
  <c r="AD216" i="7"/>
  <c r="W45" i="7"/>
  <c r="V45" i="7"/>
  <c r="X45" i="7" s="1"/>
  <c r="Y45" i="7" s="1"/>
  <c r="Z45" i="7" s="1"/>
  <c r="AA45" i="7" s="1"/>
  <c r="AB45" i="7" s="1"/>
  <c r="W46" i="7"/>
  <c r="V46" i="7"/>
  <c r="X46" i="7" s="1"/>
  <c r="Y46" i="7" s="1"/>
  <c r="Z46" i="7" s="1"/>
  <c r="AA46" i="7" s="1"/>
  <c r="AG46" i="7" s="1"/>
  <c r="V146" i="7"/>
  <c r="X146" i="7" s="1"/>
  <c r="Y146" i="7" s="1"/>
  <c r="Z146" i="7" s="1"/>
  <c r="AA146" i="7" s="1"/>
  <c r="AG146" i="7" s="1"/>
  <c r="V150" i="7"/>
  <c r="X150" i="7" s="1"/>
  <c r="Y150" i="7" s="1"/>
  <c r="Z150" i="7" s="1"/>
  <c r="AA150" i="7" s="1"/>
  <c r="V39" i="7"/>
  <c r="X39" i="7" s="1"/>
  <c r="Y39" i="7" s="1"/>
  <c r="Z39" i="7" s="1"/>
  <c r="AA39" i="7" s="1"/>
  <c r="AB39" i="7" s="1"/>
  <c r="AE39" i="7" s="1"/>
  <c r="V34" i="7"/>
  <c r="X34" i="7" s="1"/>
  <c r="Y34" i="7" s="1"/>
  <c r="Z34" i="7" s="1"/>
  <c r="AA34" i="7" s="1"/>
  <c r="AB34" i="7" s="1"/>
  <c r="AA33" i="7"/>
  <c r="AB33" i="7" s="1"/>
  <c r="AD33" i="7" s="1"/>
  <c r="AH218" i="7"/>
  <c r="AI218" i="7" s="1"/>
  <c r="AD218" i="7"/>
  <c r="AH251" i="7"/>
  <c r="AI251" i="7" s="1"/>
  <c r="AD251" i="7"/>
  <c r="AH214" i="7"/>
  <c r="AI214" i="7" s="1"/>
  <c r="AD214" i="7"/>
  <c r="AH238" i="7"/>
  <c r="AI238" i="7" s="1"/>
  <c r="AD238" i="7"/>
  <c r="W42" i="7"/>
  <c r="V42" i="7"/>
  <c r="X42" i="7" s="1"/>
  <c r="Y42" i="7" s="1"/>
  <c r="Z42" i="7" s="1"/>
  <c r="AA42" i="7" s="1"/>
  <c r="AG42" i="7" s="1"/>
  <c r="AH212" i="7"/>
  <c r="AI212" i="7" s="1"/>
  <c r="AD212" i="7"/>
  <c r="W135" i="7"/>
  <c r="V135" i="7"/>
  <c r="X135" i="7" s="1"/>
  <c r="Y135" i="7" s="1"/>
  <c r="Z135" i="7" s="1"/>
  <c r="AA135" i="7" s="1"/>
  <c r="AG135" i="7" s="1"/>
  <c r="V113" i="7"/>
  <c r="X113" i="7" s="1"/>
  <c r="Y113" i="7" s="1"/>
  <c r="Z113" i="7" s="1"/>
  <c r="AA113" i="7" s="1"/>
  <c r="V56" i="7"/>
  <c r="X56" i="7" s="1"/>
  <c r="Y56" i="7" s="1"/>
  <c r="Z56" i="7" s="1"/>
  <c r="AA56" i="7" s="1"/>
  <c r="AE215" i="7"/>
  <c r="AD215" i="7"/>
  <c r="V204" i="7"/>
  <c r="X204" i="7" s="1"/>
  <c r="Y204" i="7" s="1"/>
  <c r="Z204" i="7" s="1"/>
  <c r="AA204" i="7" s="1"/>
  <c r="U180" i="7"/>
  <c r="V180" i="7"/>
  <c r="X180" i="7" s="1"/>
  <c r="Y180" i="7" s="1"/>
  <c r="Z180" i="7" s="1"/>
  <c r="AA180" i="7" s="1"/>
  <c r="AG180" i="7" s="1"/>
  <c r="AH219" i="7"/>
  <c r="AI219" i="7" s="1"/>
  <c r="AD219" i="7"/>
  <c r="AH188" i="7"/>
  <c r="AI188" i="7" s="1"/>
  <c r="AD188" i="7"/>
  <c r="AH178" i="7"/>
  <c r="AI178" i="7" s="1"/>
  <c r="AD178" i="7"/>
  <c r="V104" i="7"/>
  <c r="X104" i="7" s="1"/>
  <c r="Y104" i="7" s="1"/>
  <c r="Z104" i="7" s="1"/>
  <c r="AA104" i="7" s="1"/>
  <c r="AH68" i="7"/>
  <c r="AI68" i="7" s="1"/>
  <c r="AD68" i="7"/>
  <c r="U61" i="7"/>
  <c r="V61" i="7"/>
  <c r="X61" i="7" s="1"/>
  <c r="Y61" i="7" s="1"/>
  <c r="Z61" i="7" s="1"/>
  <c r="AA61" i="7" s="1"/>
  <c r="V59" i="7"/>
  <c r="X59" i="7" s="1"/>
  <c r="Y59" i="7" s="1"/>
  <c r="Z59" i="7" s="1"/>
  <c r="AA59" i="7" s="1"/>
  <c r="AG59" i="7" s="1"/>
  <c r="V114" i="7"/>
  <c r="X114" i="7" s="1"/>
  <c r="Y114" i="7" s="1"/>
  <c r="Z114" i="7" s="1"/>
  <c r="AA114" i="7" s="1"/>
  <c r="W75" i="7"/>
  <c r="V75" i="7"/>
  <c r="X75" i="7" s="1"/>
  <c r="Y75" i="7" s="1"/>
  <c r="Z75" i="7" s="1"/>
  <c r="AA75" i="7" s="1"/>
  <c r="AG75" i="7" s="1"/>
  <c r="W106" i="7"/>
  <c r="V106" i="7"/>
  <c r="X106" i="7" s="1"/>
  <c r="Y106" i="7" s="1"/>
  <c r="Z106" i="7" s="1"/>
  <c r="AA106" i="7" s="1"/>
  <c r="AG106" i="7" s="1"/>
  <c r="V196" i="7"/>
  <c r="X196" i="7" s="1"/>
  <c r="Y196" i="7" s="1"/>
  <c r="Z196" i="7" s="1"/>
  <c r="AA196" i="7" s="1"/>
  <c r="AG196" i="7" s="1"/>
  <c r="W166" i="7"/>
  <c r="V166" i="7"/>
  <c r="X166" i="7" s="1"/>
  <c r="Y166" i="7" s="1"/>
  <c r="Z166" i="7" s="1"/>
  <c r="AA166" i="7" s="1"/>
  <c r="AB166" i="7" s="1"/>
  <c r="U41" i="7"/>
  <c r="V41" i="7"/>
  <c r="X41" i="7" s="1"/>
  <c r="Y41" i="7" s="1"/>
  <c r="Z41" i="7" s="1"/>
  <c r="AA41" i="7" s="1"/>
  <c r="AG41" i="7" s="1"/>
  <c r="AB38" i="7"/>
  <c r="AC208" i="7"/>
  <c r="D9" i="7"/>
  <c r="E12" i="3" s="1"/>
  <c r="AC219" i="7"/>
  <c r="AB237" i="7"/>
  <c r="AE219" i="7"/>
  <c r="AC187" i="7"/>
  <c r="AB253" i="7"/>
  <c r="AB177" i="7"/>
  <c r="U34" i="7"/>
  <c r="W34" i="7"/>
  <c r="U255" i="7"/>
  <c r="AE208" i="7"/>
  <c r="U166" i="7"/>
  <c r="W180" i="7"/>
  <c r="AE187" i="7"/>
  <c r="U193" i="7"/>
  <c r="W41" i="7"/>
  <c r="W39" i="7"/>
  <c r="U39" i="7"/>
  <c r="U234" i="7"/>
  <c r="X234" i="7"/>
  <c r="Y234" i="7" s="1"/>
  <c r="Z234" i="7" s="1"/>
  <c r="AA234" i="7" s="1"/>
  <c r="W234" i="7"/>
  <c r="U150" i="7"/>
  <c r="U23" i="7"/>
  <c r="C103" i="9"/>
  <c r="W150" i="7"/>
  <c r="U254" i="7"/>
  <c r="W193" i="7"/>
  <c r="U176" i="7"/>
  <c r="AB181" i="7"/>
  <c r="U146" i="7"/>
  <c r="AB209" i="7"/>
  <c r="W146" i="7"/>
  <c r="AB27" i="7"/>
  <c r="W204" i="7"/>
  <c r="U196" i="7"/>
  <c r="W196" i="7"/>
  <c r="AB162" i="7"/>
  <c r="AE162" i="7" s="1"/>
  <c r="U204" i="7"/>
  <c r="AB217" i="7"/>
  <c r="AD217" i="7" s="1"/>
  <c r="T203" i="7"/>
  <c r="C99" i="9" s="1"/>
  <c r="C100" i="9" s="1"/>
  <c r="C104" i="9" s="1"/>
  <c r="U46" i="7"/>
  <c r="U224" i="7"/>
  <c r="AF203" i="7"/>
  <c r="H20" i="3"/>
  <c r="H34" i="3" s="1"/>
  <c r="H38" i="3" s="1"/>
  <c r="H42" i="3" s="1"/>
  <c r="H46" i="3" s="1"/>
  <c r="H50" i="3" s="1"/>
  <c r="H54" i="3" s="1"/>
  <c r="H58" i="3" s="1"/>
  <c r="H62" i="3" s="1"/>
  <c r="H66" i="3" s="1"/>
  <c r="H70" i="3" s="1"/>
  <c r="H21" i="3"/>
  <c r="M21" i="3" s="1"/>
  <c r="H23" i="3"/>
  <c r="M23" i="3" s="1"/>
  <c r="W256" i="7"/>
  <c r="X256" i="7"/>
  <c r="Y256" i="7" s="1"/>
  <c r="Z256" i="7" s="1"/>
  <c r="AA256" i="7" s="1"/>
  <c r="AG256" i="7" s="1"/>
  <c r="U256" i="7"/>
  <c r="AF173" i="7"/>
  <c r="T233" i="7"/>
  <c r="C107" i="9" s="1"/>
  <c r="C108" i="9" s="1"/>
  <c r="C112" i="9" s="1"/>
  <c r="X197" i="7"/>
  <c r="Y197" i="7" s="1"/>
  <c r="Z197" i="7" s="1"/>
  <c r="AA197" i="7" s="1"/>
  <c r="AG197" i="7" s="1"/>
  <c r="W197" i="7"/>
  <c r="U197" i="7"/>
  <c r="H22" i="3"/>
  <c r="M22" i="3" s="1"/>
  <c r="W227" i="7"/>
  <c r="U227" i="7"/>
  <c r="X227" i="7"/>
  <c r="Y227" i="7" s="1"/>
  <c r="Z227" i="7" s="1"/>
  <c r="AA227" i="7" s="1"/>
  <c r="AG252" i="7"/>
  <c r="AB252" i="7"/>
  <c r="AD252" i="7" s="1"/>
  <c r="U174" i="7"/>
  <c r="X174" i="7"/>
  <c r="Y174" i="7" s="1"/>
  <c r="Z174" i="7" s="1"/>
  <c r="AA174" i="7" s="1"/>
  <c r="W174" i="7"/>
  <c r="W224" i="7"/>
  <c r="AE245" i="7"/>
  <c r="C95" i="9"/>
  <c r="AF233" i="7"/>
  <c r="AB213" i="7"/>
  <c r="AH245" i="7"/>
  <c r="AI245" i="7" s="1"/>
  <c r="W175" i="7"/>
  <c r="U175" i="7"/>
  <c r="X175" i="7"/>
  <c r="Y175" i="7" s="1"/>
  <c r="Z175" i="7" s="1"/>
  <c r="AA175" i="7" s="1"/>
  <c r="AC245" i="7"/>
  <c r="U45" i="7"/>
  <c r="T173" i="7"/>
  <c r="C91" i="9" s="1"/>
  <c r="C92" i="9" s="1"/>
  <c r="C96" i="9" s="1"/>
  <c r="W195" i="7"/>
  <c r="U195" i="7"/>
  <c r="AB183" i="7"/>
  <c r="AB194" i="7"/>
  <c r="AB210" i="7"/>
  <c r="AB239" i="7"/>
  <c r="AB211" i="7"/>
  <c r="AB257" i="7"/>
  <c r="AB179" i="7"/>
  <c r="AB206" i="7"/>
  <c r="AB242" i="7"/>
  <c r="AD242" i="7" s="1"/>
  <c r="AE216" i="7"/>
  <c r="AC216" i="7"/>
  <c r="U86" i="7"/>
  <c r="AG64" i="7"/>
  <c r="AB225" i="7"/>
  <c r="U75" i="7"/>
  <c r="AB243" i="7"/>
  <c r="AD243" i="7" s="1"/>
  <c r="W59" i="7"/>
  <c r="AE212" i="7"/>
  <c r="AB163" i="7"/>
  <c r="AC122" i="7"/>
  <c r="U106" i="7"/>
  <c r="U135" i="7"/>
  <c r="AC215" i="7"/>
  <c r="AE247" i="7"/>
  <c r="AB223" i="7"/>
  <c r="AE122" i="7"/>
  <c r="AG185" i="7"/>
  <c r="AB185" i="7"/>
  <c r="AD185" i="7" s="1"/>
  <c r="AG122" i="7"/>
  <c r="AG62" i="7"/>
  <c r="AH63" i="7"/>
  <c r="AI63" i="7" s="1"/>
  <c r="AH132" i="7"/>
  <c r="AI132" i="7" s="1"/>
  <c r="AH66" i="7"/>
  <c r="AI66" i="7" s="1"/>
  <c r="AH60" i="7"/>
  <c r="AI60" i="7" s="1"/>
  <c r="AH129" i="7"/>
  <c r="AI129" i="7" s="1"/>
  <c r="AH126" i="7"/>
  <c r="AI126" i="7" s="1"/>
  <c r="AH99" i="7"/>
  <c r="AI99" i="7" s="1"/>
  <c r="AH122" i="7"/>
  <c r="AI122" i="7" s="1"/>
  <c r="AH215" i="7"/>
  <c r="AI215" i="7" s="1"/>
  <c r="AH130" i="7"/>
  <c r="AI130" i="7" s="1"/>
  <c r="AH64" i="7"/>
  <c r="AI64" i="7" s="1"/>
  <c r="AG220" i="7"/>
  <c r="AB220" i="7"/>
  <c r="AD220" i="7" s="1"/>
  <c r="AG240" i="7"/>
  <c r="AB240" i="7"/>
  <c r="AD240" i="7" s="1"/>
  <c r="AG190" i="7"/>
  <c r="AB190" i="7"/>
  <c r="AD190" i="7" s="1"/>
  <c r="AE246" i="7"/>
  <c r="AH147" i="7"/>
  <c r="AI147" i="7" s="1"/>
  <c r="AH144" i="7"/>
  <c r="AI144" i="7" s="1"/>
  <c r="U84" i="7"/>
  <c r="W86" i="7"/>
  <c r="W84" i="7"/>
  <c r="AE83" i="7"/>
  <c r="AE35" i="7"/>
  <c r="AH35" i="7"/>
  <c r="AI35" i="7" s="1"/>
  <c r="U105" i="7"/>
  <c r="W105" i="7"/>
  <c r="U76" i="7"/>
  <c r="AC212" i="7"/>
  <c r="AF157" i="7"/>
  <c r="U58" i="7"/>
  <c r="AG91" i="7"/>
  <c r="W58" i="7"/>
  <c r="W119" i="7"/>
  <c r="U59" i="7"/>
  <c r="U119" i="7"/>
  <c r="U53" i="7"/>
  <c r="W113" i="7"/>
  <c r="U113" i="7"/>
  <c r="AC68" i="7"/>
  <c r="U114" i="7"/>
  <c r="W114" i="7"/>
  <c r="AF32" i="7"/>
  <c r="U56" i="7"/>
  <c r="W56" i="7"/>
  <c r="AF121" i="7"/>
  <c r="T133" i="7"/>
  <c r="AF61" i="7"/>
  <c r="S112" i="7"/>
  <c r="E9" i="7" s="1"/>
  <c r="F12" i="3" s="1"/>
  <c r="AF92" i="7"/>
  <c r="T118" i="7"/>
  <c r="T29" i="7"/>
  <c r="T103" i="7"/>
  <c r="S22" i="7"/>
  <c r="AF120" i="7"/>
  <c r="AG69" i="7"/>
  <c r="W61" i="7"/>
  <c r="AE68" i="7"/>
  <c r="AC246" i="7"/>
  <c r="AG99" i="7"/>
  <c r="AG129" i="7"/>
  <c r="AC35" i="7"/>
  <c r="AB90" i="7"/>
  <c r="AB101" i="7"/>
  <c r="AB70" i="7"/>
  <c r="AB71" i="7"/>
  <c r="AL173" i="7"/>
  <c r="D13" i="7" s="1"/>
  <c r="E21" i="3" s="1"/>
  <c r="E35" i="3" s="1"/>
  <c r="E39" i="3" s="1"/>
  <c r="E43" i="3" s="1"/>
  <c r="E47" i="3" s="1"/>
  <c r="E51" i="3" s="1"/>
  <c r="E55" i="3" s="1"/>
  <c r="E59" i="3" s="1"/>
  <c r="E63" i="3" s="1"/>
  <c r="E67" i="3" s="1"/>
  <c r="E71" i="3" s="1"/>
  <c r="AB100" i="7"/>
  <c r="AG35" i="7"/>
  <c r="W92" i="7"/>
  <c r="D20" i="9"/>
  <c r="U92" i="7"/>
  <c r="AC132" i="7"/>
  <c r="AE132" i="7"/>
  <c r="AG126" i="7"/>
  <c r="U42" i="7"/>
  <c r="U121" i="7"/>
  <c r="AC63" i="7"/>
  <c r="AE63" i="7"/>
  <c r="AC247" i="7"/>
  <c r="AG124" i="7"/>
  <c r="AL233" i="7"/>
  <c r="D15" i="7" s="1"/>
  <c r="E23" i="3" s="1"/>
  <c r="E37" i="3" s="1"/>
  <c r="E41" i="3" s="1"/>
  <c r="E45" i="3" s="1"/>
  <c r="E49" i="3" s="1"/>
  <c r="E53" i="3" s="1"/>
  <c r="E57" i="3" s="1"/>
  <c r="E61" i="3" s="1"/>
  <c r="E65" i="3" s="1"/>
  <c r="E69" i="3" s="1"/>
  <c r="E73" i="3" s="1"/>
  <c r="C42" i="9"/>
  <c r="U104" i="7"/>
  <c r="C34" i="9"/>
  <c r="U115" i="7"/>
  <c r="W115" i="7"/>
  <c r="S82" i="7"/>
  <c r="E8" i="7" s="1"/>
  <c r="F11" i="3" s="1"/>
  <c r="AB91" i="7"/>
  <c r="C49" i="9"/>
  <c r="X115" i="7"/>
  <c r="Y115" i="7" s="1"/>
  <c r="Z115" i="7" s="1"/>
  <c r="AA115" i="7" s="1"/>
  <c r="AG115" i="7" s="1"/>
  <c r="W85" i="7"/>
  <c r="X85" i="7"/>
  <c r="Y85" i="7" s="1"/>
  <c r="Z85" i="7" s="1"/>
  <c r="AA85" i="7" s="1"/>
  <c r="AG85" i="7" s="1"/>
  <c r="U85" i="7"/>
  <c r="AL203" i="7"/>
  <c r="D14" i="7" s="1"/>
  <c r="E22" i="3" s="1"/>
  <c r="E36" i="3" s="1"/>
  <c r="E40" i="3" s="1"/>
  <c r="E44" i="3" s="1"/>
  <c r="E48" i="3" s="1"/>
  <c r="E52" i="3" s="1"/>
  <c r="E56" i="3" s="1"/>
  <c r="E60" i="3" s="1"/>
  <c r="E64" i="3" s="1"/>
  <c r="E68" i="3" s="1"/>
  <c r="E72" i="3" s="1"/>
  <c r="C50" i="9"/>
  <c r="Q112" i="7"/>
  <c r="P52" i="7"/>
  <c r="R82" i="7"/>
  <c r="W104" i="7"/>
  <c r="R112" i="7"/>
  <c r="Q82" i="7"/>
  <c r="AC83" i="7"/>
  <c r="P112" i="7"/>
  <c r="W95" i="7"/>
  <c r="U95" i="7"/>
  <c r="X95" i="7"/>
  <c r="Y95" i="7" s="1"/>
  <c r="Z95" i="7" s="1"/>
  <c r="AA95" i="7" s="1"/>
  <c r="T72" i="7"/>
  <c r="V72" i="7" s="1"/>
  <c r="Q52" i="7"/>
  <c r="U94" i="7"/>
  <c r="X94" i="7"/>
  <c r="Y94" i="7" s="1"/>
  <c r="Z94" i="7" s="1"/>
  <c r="AA94" i="7" s="1"/>
  <c r="W94" i="7"/>
  <c r="X97" i="7"/>
  <c r="Y97" i="7" s="1"/>
  <c r="Z97" i="7" s="1"/>
  <c r="AA97" i="7" s="1"/>
  <c r="U97" i="7"/>
  <c r="W97" i="7"/>
  <c r="T102" i="7"/>
  <c r="V102" i="7" s="1"/>
  <c r="AF102" i="7"/>
  <c r="U120" i="7"/>
  <c r="X120" i="7"/>
  <c r="Y120" i="7" s="1"/>
  <c r="Z120" i="7" s="1"/>
  <c r="AA120" i="7" s="1"/>
  <c r="W120" i="7"/>
  <c r="X55" i="7"/>
  <c r="Y55" i="7" s="1"/>
  <c r="Z55" i="7" s="1"/>
  <c r="AA55" i="7" s="1"/>
  <c r="U55" i="7"/>
  <c r="W55" i="7"/>
  <c r="AF95" i="7"/>
  <c r="AB62" i="7"/>
  <c r="AD62" i="7" s="1"/>
  <c r="C41" i="9"/>
  <c r="S52" i="7"/>
  <c r="E7" i="7" s="1"/>
  <c r="F10" i="3" s="1"/>
  <c r="AF65" i="7"/>
  <c r="T65" i="7"/>
  <c r="V65" i="7" s="1"/>
  <c r="AC130" i="7"/>
  <c r="AE130" i="7"/>
  <c r="X98" i="7"/>
  <c r="Y98" i="7" s="1"/>
  <c r="Z98" i="7" s="1"/>
  <c r="AA98" i="7" s="1"/>
  <c r="U98" i="7"/>
  <c r="W98" i="7"/>
  <c r="P82" i="7"/>
  <c r="X67" i="7"/>
  <c r="Y67" i="7" s="1"/>
  <c r="Z67" i="7" s="1"/>
  <c r="AA67" i="7" s="1"/>
  <c r="W67" i="7"/>
  <c r="U67" i="7"/>
  <c r="AB134" i="7"/>
  <c r="AD134" i="7" s="1"/>
  <c r="U125" i="7"/>
  <c r="X125" i="7"/>
  <c r="Y125" i="7" s="1"/>
  <c r="Z125" i="7" s="1"/>
  <c r="AA125" i="7" s="1"/>
  <c r="W125" i="7"/>
  <c r="AB93" i="7"/>
  <c r="AD93" i="7" s="1"/>
  <c r="AG93" i="7"/>
  <c r="R52" i="7"/>
  <c r="T74" i="7"/>
  <c r="V74" i="7" s="1"/>
  <c r="AB124" i="7"/>
  <c r="AD124" i="7" s="1"/>
  <c r="X123" i="7"/>
  <c r="Y123" i="7" s="1"/>
  <c r="Z123" i="7" s="1"/>
  <c r="AA123" i="7" s="1"/>
  <c r="U123" i="7"/>
  <c r="W123" i="7"/>
  <c r="X128" i="7"/>
  <c r="Y128" i="7" s="1"/>
  <c r="Z128" i="7" s="1"/>
  <c r="AA128" i="7" s="1"/>
  <c r="W128" i="7"/>
  <c r="U128" i="7"/>
  <c r="AC64" i="7"/>
  <c r="AE64" i="7"/>
  <c r="W96" i="7"/>
  <c r="U96" i="7"/>
  <c r="X96" i="7"/>
  <c r="Y96" i="7" s="1"/>
  <c r="Z96" i="7" s="1"/>
  <c r="AA96" i="7" s="1"/>
  <c r="C33" i="9"/>
  <c r="W127" i="7"/>
  <c r="X127" i="7"/>
  <c r="Y127" i="7" s="1"/>
  <c r="Z127" i="7" s="1"/>
  <c r="AA127" i="7" s="1"/>
  <c r="U127" i="7"/>
  <c r="AC178" i="7"/>
  <c r="AB159" i="7"/>
  <c r="AD159" i="7" s="1"/>
  <c r="T153" i="7"/>
  <c r="V153" i="7" s="1"/>
  <c r="P153" i="7"/>
  <c r="R153" i="7"/>
  <c r="AB25" i="7"/>
  <c r="U32" i="7"/>
  <c r="W32" i="7"/>
  <c r="X32" i="7"/>
  <c r="Y32" i="7" s="1"/>
  <c r="Z32" i="7" s="1"/>
  <c r="AA32" i="7" s="1"/>
  <c r="AC60" i="7"/>
  <c r="AE60" i="7"/>
  <c r="T44" i="7"/>
  <c r="V44" i="7" s="1"/>
  <c r="AF44" i="7"/>
  <c r="AL165" i="7"/>
  <c r="P165" i="7"/>
  <c r="T165" i="7"/>
  <c r="V165" i="7" s="1"/>
  <c r="R165" i="7"/>
  <c r="AL157" i="7"/>
  <c r="AE178" i="7"/>
  <c r="U36" i="7"/>
  <c r="X36" i="7"/>
  <c r="Y36" i="7" s="1"/>
  <c r="Z36" i="7" s="1"/>
  <c r="AA36" i="7" s="1"/>
  <c r="W36" i="7"/>
  <c r="T157" i="7"/>
  <c r="V157" i="7" s="1"/>
  <c r="AB151" i="7"/>
  <c r="AD151" i="7" s="1"/>
  <c r="U145" i="7"/>
  <c r="W145" i="7"/>
  <c r="X145" i="7"/>
  <c r="Y145" i="7" s="1"/>
  <c r="Z145" i="7" s="1"/>
  <c r="AA145" i="7" s="1"/>
  <c r="AF31" i="7"/>
  <c r="AB155" i="7"/>
  <c r="AD155" i="7" s="1"/>
  <c r="AB161" i="7"/>
  <c r="AD161" i="7" s="1"/>
  <c r="S143" i="7"/>
  <c r="AG30" i="7"/>
  <c r="AB30" i="7"/>
  <c r="AG156" i="7"/>
  <c r="W31" i="7"/>
  <c r="U31" i="7"/>
  <c r="X31" i="7"/>
  <c r="Y31" i="7" s="1"/>
  <c r="Z31" i="7" s="1"/>
  <c r="AA31" i="7" s="1"/>
  <c r="T152" i="7"/>
  <c r="V152" i="7" s="1"/>
  <c r="P152" i="7"/>
  <c r="R152" i="7"/>
  <c r="AG144" i="7"/>
  <c r="AL164" i="7"/>
  <c r="P164" i="7"/>
  <c r="R164" i="7"/>
  <c r="T164" i="7"/>
  <c r="V164" i="7" s="1"/>
  <c r="P22" i="7"/>
  <c r="W43" i="7"/>
  <c r="X43" i="7"/>
  <c r="Y43" i="7" s="1"/>
  <c r="Z43" i="7" s="1"/>
  <c r="AA43" i="7" s="1"/>
  <c r="AG43" i="7" s="1"/>
  <c r="U43" i="7"/>
  <c r="Q22" i="7"/>
  <c r="R22" i="7"/>
  <c r="U28" i="7"/>
  <c r="W28" i="7"/>
  <c r="AL149" i="7"/>
  <c r="P149" i="7"/>
  <c r="T149" i="7"/>
  <c r="V149" i="7" s="1"/>
  <c r="R149" i="7"/>
  <c r="O143" i="7"/>
  <c r="D6" i="7" s="1"/>
  <c r="E9" i="3" s="1"/>
  <c r="AC129" i="7"/>
  <c r="AE129" i="7"/>
  <c r="AE99" i="7"/>
  <c r="AC99" i="7"/>
  <c r="AC66" i="7"/>
  <c r="AE66" i="7"/>
  <c r="AC126" i="7"/>
  <c r="AE126" i="7"/>
  <c r="AE69" i="7"/>
  <c r="AC69" i="7"/>
  <c r="C16" i="7"/>
  <c r="D23" i="3"/>
  <c r="L10" i="3"/>
  <c r="D21" i="3"/>
  <c r="AC147" i="7"/>
  <c r="AE147" i="7"/>
  <c r="AE144" i="7"/>
  <c r="AC144" i="7"/>
  <c r="AC154" i="7"/>
  <c r="AE154" i="7"/>
  <c r="AE156" i="7"/>
  <c r="AC156" i="7"/>
  <c r="AE148" i="7"/>
  <c r="AC148" i="7"/>
  <c r="D22" i="3"/>
  <c r="AE167" i="7"/>
  <c r="AC167" i="7"/>
  <c r="D13" i="3"/>
  <c r="L11" i="3"/>
  <c r="L20" i="3"/>
  <c r="D34" i="3"/>
  <c r="L12" i="3"/>
  <c r="AG61" i="7" l="1"/>
  <c r="AB117" i="7"/>
  <c r="AD117" i="7" s="1"/>
  <c r="AH184" i="7"/>
  <c r="AI184" i="7" s="1"/>
  <c r="AC184" i="7"/>
  <c r="AE191" i="7"/>
  <c r="AB136" i="7"/>
  <c r="AH136" i="7" s="1"/>
  <c r="AI136" i="7" s="1"/>
  <c r="AH249" i="7"/>
  <c r="AI249" i="7" s="1"/>
  <c r="AH236" i="7"/>
  <c r="AI236" i="7" s="1"/>
  <c r="AE184" i="7"/>
  <c r="AC236" i="7"/>
  <c r="AD236" i="7"/>
  <c r="AD191" i="7"/>
  <c r="AH191" i="7"/>
  <c r="AI191" i="7" s="1"/>
  <c r="AC249" i="7"/>
  <c r="AB26" i="7"/>
  <c r="AE26" i="7" s="1"/>
  <c r="AE249" i="7"/>
  <c r="AD189" i="7"/>
  <c r="AH189" i="7"/>
  <c r="AI189" i="7" s="1"/>
  <c r="AE189" i="7"/>
  <c r="AB54" i="7"/>
  <c r="AE54" i="7" s="1"/>
  <c r="AB116" i="7"/>
  <c r="AC116" i="7" s="1"/>
  <c r="AE248" i="7"/>
  <c r="AH248" i="7"/>
  <c r="AI248" i="7" s="1"/>
  <c r="W24" i="7"/>
  <c r="U24" i="7"/>
  <c r="AC248" i="7"/>
  <c r="AC182" i="7"/>
  <c r="AC241" i="7"/>
  <c r="AE182" i="7"/>
  <c r="U88" i="7"/>
  <c r="AB250" i="7"/>
  <c r="AD250" i="7" s="1"/>
  <c r="AD207" i="7"/>
  <c r="W88" i="7"/>
  <c r="AC207" i="7"/>
  <c r="AE207" i="7"/>
  <c r="D5" i="14"/>
  <c r="E5" i="14"/>
  <c r="C7" i="14"/>
  <c r="E7" i="14" s="1"/>
  <c r="AH158" i="7"/>
  <c r="AI158" i="7" s="1"/>
  <c r="U73" i="7"/>
  <c r="W73" i="7"/>
  <c r="AE158" i="7"/>
  <c r="AC158" i="7"/>
  <c r="AC205" i="7"/>
  <c r="AB256" i="7"/>
  <c r="AC256" i="7" s="1"/>
  <c r="AE33" i="7"/>
  <c r="AH182" i="7"/>
  <c r="AI182" i="7" s="1"/>
  <c r="AG56" i="7"/>
  <c r="AB56" i="7"/>
  <c r="AD56" i="7" s="1"/>
  <c r="AB204" i="7"/>
  <c r="AH204" i="7" s="1"/>
  <c r="AI204" i="7" s="1"/>
  <c r="AG204" i="7"/>
  <c r="E13" i="3"/>
  <c r="AC192" i="7"/>
  <c r="AB113" i="7"/>
  <c r="AD113" i="7" s="1"/>
  <c r="AG113" i="7"/>
  <c r="AG224" i="7"/>
  <c r="AB224" i="7"/>
  <c r="AH166" i="7"/>
  <c r="AI166" i="7" s="1"/>
  <c r="AD166" i="7"/>
  <c r="AG114" i="7"/>
  <c r="AB114" i="7"/>
  <c r="AC114" i="7" s="1"/>
  <c r="AB84" i="7"/>
  <c r="AD84" i="7" s="1"/>
  <c r="AG84" i="7"/>
  <c r="AG105" i="7"/>
  <c r="AB105" i="7"/>
  <c r="AG150" i="7"/>
  <c r="AB150" i="7"/>
  <c r="AE150" i="7" s="1"/>
  <c r="AG193" i="7"/>
  <c r="AB193" i="7"/>
  <c r="AG195" i="7"/>
  <c r="AB195" i="7"/>
  <c r="AE195" i="7" s="1"/>
  <c r="AG24" i="7"/>
  <c r="AB24" i="7"/>
  <c r="AG104" i="7"/>
  <c r="AB104" i="7"/>
  <c r="AD104" i="7" s="1"/>
  <c r="AD34" i="7"/>
  <c r="AC34" i="7"/>
  <c r="AG119" i="7"/>
  <c r="AB119" i="7"/>
  <c r="AC119" i="7" s="1"/>
  <c r="AH54" i="7"/>
  <c r="AI54" i="7" s="1"/>
  <c r="AH177" i="7"/>
  <c r="AI177" i="7" s="1"/>
  <c r="AD177" i="7"/>
  <c r="AH38" i="7"/>
  <c r="AI38" i="7" s="1"/>
  <c r="AD38" i="7"/>
  <c r="AH160" i="7"/>
  <c r="AI160" i="7" s="1"/>
  <c r="AD160" i="7"/>
  <c r="AH57" i="7"/>
  <c r="AI57" i="7" s="1"/>
  <c r="AD57" i="7"/>
  <c r="AH71" i="7"/>
  <c r="AI71" i="7" s="1"/>
  <c r="AD71" i="7"/>
  <c r="W118" i="7"/>
  <c r="V118" i="7"/>
  <c r="X118" i="7" s="1"/>
  <c r="Y118" i="7" s="1"/>
  <c r="Z118" i="7" s="1"/>
  <c r="AA118" i="7" s="1"/>
  <c r="AG118" i="7" s="1"/>
  <c r="U133" i="7"/>
  <c r="V133" i="7"/>
  <c r="X133" i="7" s="1"/>
  <c r="Y133" i="7" s="1"/>
  <c r="Z133" i="7" s="1"/>
  <c r="AA133" i="7" s="1"/>
  <c r="AG133" i="7" s="1"/>
  <c r="AH163" i="7"/>
  <c r="AI163" i="7" s="1"/>
  <c r="AD163" i="7"/>
  <c r="AC257" i="7"/>
  <c r="AD257" i="7"/>
  <c r="AH194" i="7"/>
  <c r="AI194" i="7" s="1"/>
  <c r="AD194" i="7"/>
  <c r="AH213" i="7"/>
  <c r="AI213" i="7" s="1"/>
  <c r="AD213" i="7"/>
  <c r="AB196" i="7"/>
  <c r="AC196" i="7" s="1"/>
  <c r="AH181" i="7"/>
  <c r="AI181" i="7" s="1"/>
  <c r="AD181" i="7"/>
  <c r="AH253" i="7"/>
  <c r="AI253" i="7" s="1"/>
  <c r="AD253" i="7"/>
  <c r="AG33" i="7"/>
  <c r="AC33" i="7"/>
  <c r="AH91" i="7"/>
  <c r="AI91" i="7" s="1"/>
  <c r="AD91" i="7"/>
  <c r="AG92" i="7"/>
  <c r="AH90" i="7"/>
  <c r="AI90" i="7" s="1"/>
  <c r="AD90" i="7"/>
  <c r="V29" i="7"/>
  <c r="X29" i="7" s="1"/>
  <c r="Y29" i="7" s="1"/>
  <c r="Z29" i="7" s="1"/>
  <c r="AA29" i="7" s="1"/>
  <c r="AH225" i="7"/>
  <c r="AI225" i="7" s="1"/>
  <c r="AD225" i="7"/>
  <c r="AH179" i="7"/>
  <c r="AI179" i="7" s="1"/>
  <c r="AD179" i="7"/>
  <c r="AH210" i="7"/>
  <c r="AI210" i="7" s="1"/>
  <c r="AD210" i="7"/>
  <c r="AH89" i="7"/>
  <c r="AI89" i="7" s="1"/>
  <c r="AD89" i="7"/>
  <c r="AE160" i="7"/>
  <c r="AC39" i="7"/>
  <c r="AC160" i="7"/>
  <c r="AB58" i="7"/>
  <c r="AE58" i="7" s="1"/>
  <c r="AB86" i="7"/>
  <c r="AD86" i="7" s="1"/>
  <c r="AB59" i="7"/>
  <c r="AD59" i="7" s="1"/>
  <c r="AH100" i="7"/>
  <c r="AI100" i="7" s="1"/>
  <c r="AD100" i="7"/>
  <c r="AH70" i="7"/>
  <c r="AI70" i="7" s="1"/>
  <c r="AD70" i="7"/>
  <c r="AC57" i="7"/>
  <c r="AE89" i="7"/>
  <c r="AH211" i="7"/>
  <c r="AI211" i="7" s="1"/>
  <c r="AD211" i="7"/>
  <c r="AH183" i="7"/>
  <c r="AI183" i="7" s="1"/>
  <c r="AD183" i="7"/>
  <c r="AA203" i="7"/>
  <c r="AH162" i="7"/>
  <c r="AI162" i="7" s="1"/>
  <c r="AD162" i="7"/>
  <c r="AB41" i="7"/>
  <c r="AG34" i="7"/>
  <c r="AH237" i="7"/>
  <c r="AI237" i="7" s="1"/>
  <c r="AD237" i="7"/>
  <c r="AH192" i="7"/>
  <c r="AI192" i="7" s="1"/>
  <c r="AD192" i="7"/>
  <c r="AH205" i="7"/>
  <c r="AI205" i="7" s="1"/>
  <c r="AD205" i="7"/>
  <c r="AH241" i="7"/>
  <c r="AI241" i="7" s="1"/>
  <c r="AD241" i="7"/>
  <c r="AH131" i="7"/>
  <c r="AI131" i="7" s="1"/>
  <c r="AD131" i="7"/>
  <c r="AC131" i="7"/>
  <c r="AE131" i="7"/>
  <c r="AH25" i="7"/>
  <c r="AI25" i="7" s="1"/>
  <c r="AD25" i="7"/>
  <c r="AH45" i="7"/>
  <c r="AI45" i="7" s="1"/>
  <c r="AD45" i="7"/>
  <c r="AE27" i="7"/>
  <c r="AD27" i="7"/>
  <c r="AH39" i="7"/>
  <c r="AI39" i="7" s="1"/>
  <c r="AD39" i="7"/>
  <c r="AH226" i="7"/>
  <c r="AI226" i="7" s="1"/>
  <c r="AD226" i="7"/>
  <c r="AB73" i="7"/>
  <c r="AC73" i="7" s="1"/>
  <c r="AB146" i="7"/>
  <c r="AD146" i="7" s="1"/>
  <c r="AH30" i="7"/>
  <c r="AI30" i="7" s="1"/>
  <c r="AD30" i="7"/>
  <c r="AH101" i="7"/>
  <c r="AI101" i="7" s="1"/>
  <c r="AD101" i="7"/>
  <c r="V103" i="7"/>
  <c r="X103" i="7" s="1"/>
  <c r="Y103" i="7" s="1"/>
  <c r="Z103" i="7" s="1"/>
  <c r="AA103" i="7" s="1"/>
  <c r="AH223" i="7"/>
  <c r="AI223" i="7" s="1"/>
  <c r="AD223" i="7"/>
  <c r="AC226" i="7"/>
  <c r="AH206" i="7"/>
  <c r="AI206" i="7" s="1"/>
  <c r="AD206" i="7"/>
  <c r="AH239" i="7"/>
  <c r="AI239" i="7" s="1"/>
  <c r="AD239" i="7"/>
  <c r="AH209" i="7"/>
  <c r="AI209" i="7" s="1"/>
  <c r="AD209" i="7"/>
  <c r="AG39" i="7"/>
  <c r="AH33" i="7"/>
  <c r="AI33" i="7" s="1"/>
  <c r="AE38" i="7"/>
  <c r="AC38" i="7"/>
  <c r="AE237" i="7"/>
  <c r="AC237" i="7"/>
  <c r="AH34" i="7"/>
  <c r="AI34" i="7" s="1"/>
  <c r="AC253" i="7"/>
  <c r="AE253" i="7"/>
  <c r="AC177" i="7"/>
  <c r="AE34" i="7"/>
  <c r="AE177" i="7"/>
  <c r="Z203" i="7"/>
  <c r="AC181" i="7"/>
  <c r="AB180" i="7"/>
  <c r="AC180" i="7" s="1"/>
  <c r="AB176" i="7"/>
  <c r="AE166" i="7"/>
  <c r="AC166" i="7"/>
  <c r="W233" i="7"/>
  <c r="AG166" i="7"/>
  <c r="AB23" i="7"/>
  <c r="AC209" i="7"/>
  <c r="AE209" i="7"/>
  <c r="AB234" i="7"/>
  <c r="AD234" i="7" s="1"/>
  <c r="AG234" i="7"/>
  <c r="AG233" i="7" s="1"/>
  <c r="AB46" i="7"/>
  <c r="AB255" i="7"/>
  <c r="U233" i="7"/>
  <c r="AE181" i="7"/>
  <c r="C105" i="9"/>
  <c r="C106" i="9" s="1"/>
  <c r="X233" i="7"/>
  <c r="V233" i="7"/>
  <c r="AH27" i="7"/>
  <c r="AI27" i="7" s="1"/>
  <c r="AB254" i="7"/>
  <c r="AD254" i="7" s="1"/>
  <c r="Z233" i="7"/>
  <c r="AC27" i="7"/>
  <c r="Y203" i="7"/>
  <c r="Y233" i="7"/>
  <c r="AA233" i="7"/>
  <c r="M20" i="3"/>
  <c r="M24" i="3" s="1"/>
  <c r="AC162" i="7"/>
  <c r="X203" i="7"/>
  <c r="V203" i="7"/>
  <c r="AA173" i="7"/>
  <c r="AH217" i="7"/>
  <c r="AI217" i="7" s="1"/>
  <c r="AE217" i="7"/>
  <c r="H35" i="3"/>
  <c r="H39" i="3" s="1"/>
  <c r="H43" i="3" s="1"/>
  <c r="H47" i="3" s="1"/>
  <c r="H51" i="3" s="1"/>
  <c r="H55" i="3" s="1"/>
  <c r="H59" i="3" s="1"/>
  <c r="H63" i="3" s="1"/>
  <c r="H67" i="3" s="1"/>
  <c r="H71" i="3" s="1"/>
  <c r="AC217" i="7"/>
  <c r="AC213" i="7"/>
  <c r="H36" i="3"/>
  <c r="H40" i="3" s="1"/>
  <c r="H44" i="3" s="1"/>
  <c r="H48" i="3" s="1"/>
  <c r="H52" i="3" s="1"/>
  <c r="H56" i="3" s="1"/>
  <c r="H60" i="3" s="1"/>
  <c r="H64" i="3" s="1"/>
  <c r="H68" i="3" s="1"/>
  <c r="H72" i="3" s="1"/>
  <c r="AE213" i="7"/>
  <c r="W203" i="7"/>
  <c r="U203" i="7"/>
  <c r="H24" i="3"/>
  <c r="AF153" i="7"/>
  <c r="H37" i="3"/>
  <c r="H41" i="3" s="1"/>
  <c r="H45" i="3" s="1"/>
  <c r="H49" i="3" s="1"/>
  <c r="H53" i="3" s="1"/>
  <c r="H57" i="3" s="1"/>
  <c r="H61" i="3" s="1"/>
  <c r="H65" i="3" s="1"/>
  <c r="H69" i="3" s="1"/>
  <c r="H73" i="3" s="1"/>
  <c r="AH252" i="7"/>
  <c r="AI252" i="7" s="1"/>
  <c r="AE252" i="7"/>
  <c r="AC252" i="7"/>
  <c r="AB174" i="7"/>
  <c r="AD174" i="7" s="1"/>
  <c r="AG174" i="7"/>
  <c r="AC239" i="7"/>
  <c r="AG227" i="7"/>
  <c r="AB227" i="7"/>
  <c r="AG76" i="7"/>
  <c r="AG45" i="7"/>
  <c r="W173" i="7"/>
  <c r="AB197" i="7"/>
  <c r="AD197" i="7" s="1"/>
  <c r="AE223" i="7"/>
  <c r="AE225" i="7"/>
  <c r="AB75" i="7"/>
  <c r="AC223" i="7"/>
  <c r="AH242" i="7"/>
  <c r="AI242" i="7" s="1"/>
  <c r="AE211" i="7"/>
  <c r="AC242" i="7"/>
  <c r="AE242" i="7"/>
  <c r="AE239" i="7"/>
  <c r="AE194" i="7"/>
  <c r="AE179" i="7"/>
  <c r="C113" i="9"/>
  <c r="C114" i="9" s="1"/>
  <c r="AE210" i="7"/>
  <c r="X173" i="7"/>
  <c r="V173" i="7"/>
  <c r="AE257" i="7"/>
  <c r="C97" i="9"/>
  <c r="C98" i="9" s="1"/>
  <c r="Y173" i="7"/>
  <c r="Z173" i="7"/>
  <c r="AC163" i="7"/>
  <c r="AC211" i="7"/>
  <c r="U173" i="7"/>
  <c r="AC210" i="7"/>
  <c r="AC225" i="7"/>
  <c r="AG175" i="7"/>
  <c r="AB175" i="7"/>
  <c r="AD175" i="7" s="1"/>
  <c r="AC194" i="7"/>
  <c r="AE183" i="7"/>
  <c r="AC183" i="7"/>
  <c r="AC206" i="7"/>
  <c r="AC179" i="7"/>
  <c r="AH257" i="7"/>
  <c r="AI257" i="7" s="1"/>
  <c r="AE206" i="7"/>
  <c r="AE163" i="7"/>
  <c r="AH243" i="7"/>
  <c r="AI243" i="7" s="1"/>
  <c r="AC243" i="7"/>
  <c r="AE243" i="7"/>
  <c r="AE117" i="7"/>
  <c r="AC117" i="7"/>
  <c r="AF112" i="7"/>
  <c r="E15" i="7" s="1"/>
  <c r="F23" i="3" s="1"/>
  <c r="F37" i="3" s="1"/>
  <c r="F41" i="3" s="1"/>
  <c r="F45" i="3" s="1"/>
  <c r="F49" i="3" s="1"/>
  <c r="F53" i="3" s="1"/>
  <c r="F57" i="3" s="1"/>
  <c r="F61" i="3" s="1"/>
  <c r="F65" i="3" s="1"/>
  <c r="F69" i="3" s="1"/>
  <c r="F73" i="3" s="1"/>
  <c r="AH185" i="7"/>
  <c r="AI185" i="7" s="1"/>
  <c r="AE185" i="7"/>
  <c r="AC185" i="7"/>
  <c r="AH76" i="7"/>
  <c r="AI76" i="7" s="1"/>
  <c r="AH124" i="7"/>
  <c r="AI124" i="7" s="1"/>
  <c r="AH93" i="7"/>
  <c r="AI93" i="7" s="1"/>
  <c r="AH134" i="7"/>
  <c r="AI134" i="7" s="1"/>
  <c r="AH62" i="7"/>
  <c r="AI62" i="7" s="1"/>
  <c r="AH117" i="7"/>
  <c r="AI117" i="7" s="1"/>
  <c r="AH240" i="7"/>
  <c r="AI240" i="7" s="1"/>
  <c r="AE240" i="7"/>
  <c r="AC240" i="7"/>
  <c r="AH92" i="7"/>
  <c r="AI92" i="7" s="1"/>
  <c r="AH190" i="7"/>
  <c r="AI190" i="7" s="1"/>
  <c r="AE190" i="7"/>
  <c r="AC190" i="7"/>
  <c r="AH220" i="7"/>
  <c r="AI220" i="7" s="1"/>
  <c r="AC220" i="7"/>
  <c r="AE220" i="7"/>
  <c r="AB106" i="7"/>
  <c r="AE91" i="7"/>
  <c r="AC161" i="7"/>
  <c r="AH161" i="7"/>
  <c r="AI161" i="7" s="1"/>
  <c r="AF152" i="7"/>
  <c r="AC155" i="7"/>
  <c r="AH155" i="7"/>
  <c r="AI155" i="7" s="1"/>
  <c r="AE159" i="7"/>
  <c r="AH159" i="7"/>
  <c r="AI159" i="7" s="1"/>
  <c r="AC100" i="7"/>
  <c r="AC101" i="7"/>
  <c r="AE151" i="7"/>
  <c r="AH151" i="7"/>
  <c r="AI151" i="7" s="1"/>
  <c r="AC90" i="7"/>
  <c r="AE71" i="7"/>
  <c r="AE100" i="7"/>
  <c r="AE101" i="7"/>
  <c r="AB135" i="7"/>
  <c r="AB53" i="7"/>
  <c r="W133" i="7"/>
  <c r="U118" i="7"/>
  <c r="AC159" i="7"/>
  <c r="W103" i="7"/>
  <c r="U103" i="7"/>
  <c r="AF52" i="7"/>
  <c r="E13" i="7" s="1"/>
  <c r="F21" i="3" s="1"/>
  <c r="F35" i="3" s="1"/>
  <c r="F39" i="3" s="1"/>
  <c r="F43" i="3" s="1"/>
  <c r="F47" i="3" s="1"/>
  <c r="F51" i="3" s="1"/>
  <c r="F55" i="3" s="1"/>
  <c r="F59" i="3" s="1"/>
  <c r="F63" i="3" s="1"/>
  <c r="F67" i="3" s="1"/>
  <c r="F71" i="3" s="1"/>
  <c r="T82" i="7"/>
  <c r="C39" i="9" s="1"/>
  <c r="C40" i="9" s="1"/>
  <c r="C44" i="9" s="1"/>
  <c r="U29" i="7"/>
  <c r="AE70" i="7"/>
  <c r="W29" i="7"/>
  <c r="T112" i="7"/>
  <c r="C47" i="9" s="1"/>
  <c r="C51" i="9" s="1"/>
  <c r="E6" i="7"/>
  <c r="F9" i="3" s="1"/>
  <c r="F13" i="3" s="1"/>
  <c r="T22" i="7"/>
  <c r="AC71" i="7"/>
  <c r="AC70" i="7"/>
  <c r="AB88" i="7"/>
  <c r="AE90" i="7"/>
  <c r="AC151" i="7"/>
  <c r="AB42" i="7"/>
  <c r="AF82" i="7"/>
  <c r="E14" i="7" s="1"/>
  <c r="F22" i="3" s="1"/>
  <c r="F36" i="3" s="1"/>
  <c r="F40" i="3" s="1"/>
  <c r="F44" i="3" s="1"/>
  <c r="F48" i="3" s="1"/>
  <c r="F52" i="3" s="1"/>
  <c r="F56" i="3" s="1"/>
  <c r="F60" i="3" s="1"/>
  <c r="F64" i="3" s="1"/>
  <c r="F68" i="3" s="1"/>
  <c r="F72" i="3" s="1"/>
  <c r="AC91" i="7"/>
  <c r="AG94" i="7"/>
  <c r="AG95" i="7"/>
  <c r="AE155" i="7"/>
  <c r="AB121" i="7"/>
  <c r="AG123" i="7"/>
  <c r="AB115" i="7"/>
  <c r="AE45" i="7"/>
  <c r="AC45" i="7"/>
  <c r="AB61" i="7"/>
  <c r="AB85" i="7"/>
  <c r="AG32" i="7"/>
  <c r="AF22" i="7"/>
  <c r="AB127" i="7"/>
  <c r="AD127" i="7" s="1"/>
  <c r="AG127" i="7"/>
  <c r="AB125" i="7"/>
  <c r="AD125" i="7" s="1"/>
  <c r="AG125" i="7"/>
  <c r="U65" i="7"/>
  <c r="W65" i="7"/>
  <c r="T52" i="7"/>
  <c r="C31" i="9" s="1"/>
  <c r="C35" i="9" s="1"/>
  <c r="AE62" i="7"/>
  <c r="AC62" i="7"/>
  <c r="AB55" i="7"/>
  <c r="AD55" i="7" s="1"/>
  <c r="AG55" i="7"/>
  <c r="AG120" i="7"/>
  <c r="AB120" i="7"/>
  <c r="AD120" i="7" s="1"/>
  <c r="W72" i="7"/>
  <c r="X72" i="7"/>
  <c r="Y72" i="7" s="1"/>
  <c r="Z72" i="7" s="1"/>
  <c r="AA72" i="7" s="1"/>
  <c r="AG72" i="7" s="1"/>
  <c r="U72" i="7"/>
  <c r="AC76" i="7"/>
  <c r="AE76" i="7"/>
  <c r="AB128" i="7"/>
  <c r="AD128" i="7" s="1"/>
  <c r="AG128" i="7"/>
  <c r="AB123" i="7"/>
  <c r="AD123" i="7" s="1"/>
  <c r="W74" i="7"/>
  <c r="U74" i="7"/>
  <c r="X74" i="7"/>
  <c r="Y74" i="7" s="1"/>
  <c r="Z74" i="7" s="1"/>
  <c r="AA74" i="7" s="1"/>
  <c r="AE93" i="7"/>
  <c r="AC93" i="7"/>
  <c r="AB95" i="7"/>
  <c r="AD95" i="7" s="1"/>
  <c r="AB97" i="7"/>
  <c r="AD97" i="7" s="1"/>
  <c r="AG97" i="7"/>
  <c r="AG96" i="7"/>
  <c r="AB96" i="7"/>
  <c r="AD96" i="7" s="1"/>
  <c r="AC124" i="7"/>
  <c r="AE124" i="7"/>
  <c r="AE134" i="7"/>
  <c r="AC134" i="7"/>
  <c r="AG67" i="7"/>
  <c r="AB67" i="7"/>
  <c r="AD67" i="7" s="1"/>
  <c r="AG98" i="7"/>
  <c r="AB98" i="7"/>
  <c r="AD98" i="7" s="1"/>
  <c r="W102" i="7"/>
  <c r="U102" i="7"/>
  <c r="AB94" i="7"/>
  <c r="AD94" i="7" s="1"/>
  <c r="AC25" i="7"/>
  <c r="AE25" i="7"/>
  <c r="W165" i="7"/>
  <c r="U165" i="7"/>
  <c r="X165" i="7"/>
  <c r="Y165" i="7" s="1"/>
  <c r="Z165" i="7" s="1"/>
  <c r="AA165" i="7" s="1"/>
  <c r="AG165" i="7" s="1"/>
  <c r="W44" i="7"/>
  <c r="U44" i="7"/>
  <c r="X44" i="7"/>
  <c r="Y44" i="7" s="1"/>
  <c r="Z44" i="7" s="1"/>
  <c r="AA44" i="7" s="1"/>
  <c r="AG44" i="7" s="1"/>
  <c r="AB32" i="7"/>
  <c r="AC92" i="7"/>
  <c r="AE92" i="7"/>
  <c r="AL153" i="7"/>
  <c r="W153" i="7"/>
  <c r="X153" i="7"/>
  <c r="Y153" i="7" s="1"/>
  <c r="Z153" i="7" s="1"/>
  <c r="AA153" i="7" s="1"/>
  <c r="AG153" i="7" s="1"/>
  <c r="U153" i="7"/>
  <c r="U157" i="7"/>
  <c r="X157" i="7"/>
  <c r="Y157" i="7" s="1"/>
  <c r="Z157" i="7" s="1"/>
  <c r="AA157" i="7" s="1"/>
  <c r="W157" i="7"/>
  <c r="C25" i="9"/>
  <c r="B79" i="9" s="1"/>
  <c r="AB36" i="7"/>
  <c r="AG36" i="7"/>
  <c r="AE161" i="7"/>
  <c r="AG145" i="7"/>
  <c r="AB145" i="7"/>
  <c r="AC30" i="7"/>
  <c r="AE30" i="7"/>
  <c r="AL152" i="7"/>
  <c r="U152" i="7"/>
  <c r="X152" i="7"/>
  <c r="Y152" i="7" s="1"/>
  <c r="Z152" i="7" s="1"/>
  <c r="AA152" i="7" s="1"/>
  <c r="AG152" i="7" s="1"/>
  <c r="W152" i="7"/>
  <c r="AB31" i="7"/>
  <c r="AG31" i="7"/>
  <c r="P143" i="7"/>
  <c r="Q143" i="7"/>
  <c r="AB43" i="7"/>
  <c r="AD43" i="7" s="1"/>
  <c r="W149" i="7"/>
  <c r="U149" i="7"/>
  <c r="T143" i="7"/>
  <c r="X28" i="7"/>
  <c r="Y28" i="7" s="1"/>
  <c r="Z28" i="7" s="1"/>
  <c r="AA28" i="7" s="1"/>
  <c r="R143" i="7"/>
  <c r="W164" i="7"/>
  <c r="U164" i="7"/>
  <c r="X164" i="7"/>
  <c r="Y164" i="7" s="1"/>
  <c r="Z164" i="7" s="1"/>
  <c r="AA164" i="7" s="1"/>
  <c r="AG164" i="7" s="1"/>
  <c r="D24" i="3"/>
  <c r="L13" i="3"/>
  <c r="D38" i="3"/>
  <c r="L21" i="3"/>
  <c r="D35" i="3"/>
  <c r="L23" i="3"/>
  <c r="D37" i="3"/>
  <c r="L22" i="3"/>
  <c r="D36" i="3"/>
  <c r="AD136" i="7" l="1"/>
  <c r="AE136" i="7"/>
  <c r="AC136" i="7"/>
  <c r="AC26" i="7"/>
  <c r="AH26" i="7"/>
  <c r="AI26" i="7" s="1"/>
  <c r="AH116" i="7"/>
  <c r="AI116" i="7" s="1"/>
  <c r="AD26" i="7"/>
  <c r="AC113" i="7"/>
  <c r="AH250" i="7"/>
  <c r="AI250" i="7" s="1"/>
  <c r="AC54" i="7"/>
  <c r="AD54" i="7"/>
  <c r="AE116" i="7"/>
  <c r="AD116" i="7"/>
  <c r="AH86" i="7"/>
  <c r="AI86" i="7" s="1"/>
  <c r="AC84" i="7"/>
  <c r="AC58" i="7"/>
  <c r="AH84" i="7"/>
  <c r="AI84" i="7" s="1"/>
  <c r="AD204" i="7"/>
  <c r="AE84" i="7"/>
  <c r="AC146" i="7"/>
  <c r="D7" i="14"/>
  <c r="AC250" i="7"/>
  <c r="AE113" i="7"/>
  <c r="U112" i="7"/>
  <c r="AC104" i="7"/>
  <c r="AH146" i="7"/>
  <c r="AI146" i="7" s="1"/>
  <c r="AH113" i="7"/>
  <c r="AI113" i="7" s="1"/>
  <c r="AE250" i="7"/>
  <c r="AE196" i="7"/>
  <c r="W112" i="7"/>
  <c r="AD256" i="7"/>
  <c r="AE146" i="7"/>
  <c r="AH256" i="7"/>
  <c r="AI256" i="7" s="1"/>
  <c r="AE56" i="7"/>
  <c r="AE256" i="7"/>
  <c r="AC56" i="7"/>
  <c r="AH56" i="7"/>
  <c r="AI56" i="7" s="1"/>
  <c r="AE119" i="7"/>
  <c r="AG203" i="7"/>
  <c r="AC86" i="7"/>
  <c r="AC150" i="7"/>
  <c r="AC204" i="7"/>
  <c r="AE204" i="7"/>
  <c r="AE86" i="7"/>
  <c r="AC195" i="7"/>
  <c r="AE104" i="7"/>
  <c r="AH104" i="7"/>
  <c r="AI104" i="7" s="1"/>
  <c r="AG29" i="7"/>
  <c r="AB29" i="7"/>
  <c r="AD29" i="7" s="1"/>
  <c r="AG103" i="7"/>
  <c r="AB103" i="7"/>
  <c r="AE103" i="7" s="1"/>
  <c r="AH36" i="7"/>
  <c r="AI36" i="7" s="1"/>
  <c r="AD36" i="7"/>
  <c r="AH42" i="7"/>
  <c r="AI42" i="7" s="1"/>
  <c r="AD42" i="7"/>
  <c r="AH73" i="7"/>
  <c r="AI73" i="7" s="1"/>
  <c r="AD73" i="7"/>
  <c r="AH193" i="7"/>
  <c r="AI193" i="7" s="1"/>
  <c r="AD193" i="7"/>
  <c r="AH224" i="7"/>
  <c r="AI224" i="7" s="1"/>
  <c r="AD224" i="7"/>
  <c r="AE73" i="7"/>
  <c r="AH121" i="7"/>
  <c r="AI121" i="7" s="1"/>
  <c r="AD121" i="7"/>
  <c r="AE59" i="7"/>
  <c r="AH88" i="7"/>
  <c r="AI88" i="7" s="1"/>
  <c r="AD88" i="7"/>
  <c r="AH53" i="7"/>
  <c r="AI53" i="7" s="1"/>
  <c r="AD53" i="7"/>
  <c r="AH59" i="7"/>
  <c r="AI59" i="7" s="1"/>
  <c r="AB203" i="7"/>
  <c r="AD227" i="7"/>
  <c r="AH255" i="7"/>
  <c r="AI255" i="7" s="1"/>
  <c r="AD255" i="7"/>
  <c r="AH46" i="7"/>
  <c r="AI46" i="7" s="1"/>
  <c r="AD46" i="7"/>
  <c r="AH23" i="7"/>
  <c r="AI23" i="7" s="1"/>
  <c r="AD23" i="7"/>
  <c r="AC176" i="7"/>
  <c r="AD176" i="7"/>
  <c r="AH196" i="7"/>
  <c r="AI196" i="7" s="1"/>
  <c r="AD196" i="7"/>
  <c r="AH106" i="7"/>
  <c r="AI106" i="7" s="1"/>
  <c r="AD106" i="7"/>
  <c r="AC75" i="7"/>
  <c r="AD75" i="7"/>
  <c r="AC41" i="7"/>
  <c r="AD41" i="7"/>
  <c r="AH24" i="7"/>
  <c r="AI24" i="7" s="1"/>
  <c r="AD24" i="7"/>
  <c r="AC24" i="7"/>
  <c r="AE24" i="7"/>
  <c r="AH105" i="7"/>
  <c r="AI105" i="7" s="1"/>
  <c r="AD105" i="7"/>
  <c r="AH114" i="7"/>
  <c r="AI114" i="7" s="1"/>
  <c r="AD114" i="7"/>
  <c r="AH31" i="7"/>
  <c r="AI31" i="7" s="1"/>
  <c r="AD31" i="7"/>
  <c r="AH145" i="7"/>
  <c r="AI145" i="7" s="1"/>
  <c r="AD145" i="7"/>
  <c r="AH85" i="7"/>
  <c r="AD85" i="7"/>
  <c r="AC59" i="7"/>
  <c r="AE114" i="7"/>
  <c r="AH135" i="7"/>
  <c r="AI135" i="7" s="1"/>
  <c r="AD135" i="7"/>
  <c r="AC105" i="7"/>
  <c r="AE105" i="7"/>
  <c r="AE224" i="7"/>
  <c r="AC224" i="7"/>
  <c r="AE41" i="7"/>
  <c r="AE193" i="7"/>
  <c r="AH180" i="7"/>
  <c r="AI180" i="7" s="1"/>
  <c r="AD180" i="7"/>
  <c r="AH58" i="7"/>
  <c r="AI58" i="7" s="1"/>
  <c r="AD58" i="7"/>
  <c r="AH119" i="7"/>
  <c r="AI119" i="7" s="1"/>
  <c r="AD119" i="7"/>
  <c r="AH195" i="7"/>
  <c r="AI195" i="7" s="1"/>
  <c r="AD195" i="7"/>
  <c r="AH150" i="7"/>
  <c r="AI150" i="7" s="1"/>
  <c r="AD150" i="7"/>
  <c r="AH32" i="7"/>
  <c r="AI32" i="7" s="1"/>
  <c r="AD32" i="7"/>
  <c r="AH61" i="7"/>
  <c r="AI61" i="7" s="1"/>
  <c r="AD61" i="7"/>
  <c r="AH115" i="7"/>
  <c r="AD115" i="7"/>
  <c r="AH41" i="7"/>
  <c r="AI41" i="7" s="1"/>
  <c r="AC193" i="7"/>
  <c r="AE180" i="7"/>
  <c r="AH176" i="7"/>
  <c r="AI176" i="7" s="1"/>
  <c r="AE176" i="7"/>
  <c r="AE23" i="7"/>
  <c r="AB233" i="7"/>
  <c r="AC46" i="7"/>
  <c r="AH254" i="7"/>
  <c r="AI254" i="7" s="1"/>
  <c r="AE46" i="7"/>
  <c r="AC23" i="7"/>
  <c r="AH234" i="7"/>
  <c r="AI234" i="7" s="1"/>
  <c r="AE234" i="7"/>
  <c r="AC234" i="7"/>
  <c r="AC255" i="7"/>
  <c r="AE75" i="7"/>
  <c r="AE254" i="7"/>
  <c r="AE255" i="7"/>
  <c r="AC254" i="7"/>
  <c r="AF143" i="7"/>
  <c r="E12" i="7" s="1"/>
  <c r="F20" i="3" s="1"/>
  <c r="F24" i="3" s="1"/>
  <c r="AB173" i="7"/>
  <c r="AG173" i="7"/>
  <c r="AH75" i="7"/>
  <c r="AI75" i="7" s="1"/>
  <c r="AH197" i="7"/>
  <c r="AI197" i="7" s="1"/>
  <c r="AE197" i="7"/>
  <c r="AC197" i="7"/>
  <c r="AH227" i="7"/>
  <c r="AI227" i="7" s="1"/>
  <c r="AC227" i="7"/>
  <c r="AE227" i="7"/>
  <c r="AH174" i="7"/>
  <c r="AI174" i="7" s="1"/>
  <c r="AC174" i="7"/>
  <c r="AE174" i="7"/>
  <c r="AH175" i="7"/>
  <c r="AI175" i="7" s="1"/>
  <c r="AE175" i="7"/>
  <c r="AC175" i="7"/>
  <c r="AC53" i="7"/>
  <c r="AE106" i="7"/>
  <c r="AC106" i="7"/>
  <c r="AH67" i="7"/>
  <c r="AI67" i="7" s="1"/>
  <c r="AH55" i="7"/>
  <c r="AI55" i="7" s="1"/>
  <c r="AH125" i="7"/>
  <c r="AI125" i="7" s="1"/>
  <c r="AH97" i="7"/>
  <c r="AI97" i="7" s="1"/>
  <c r="AH123" i="7"/>
  <c r="AI123" i="7" s="1"/>
  <c r="AH120" i="7"/>
  <c r="AI120" i="7" s="1"/>
  <c r="AH94" i="7"/>
  <c r="AI94" i="7" s="1"/>
  <c r="AH98" i="7"/>
  <c r="AI98" i="7" s="1"/>
  <c r="AH96" i="7"/>
  <c r="AI96" i="7" s="1"/>
  <c r="AH95" i="7"/>
  <c r="AI95" i="7" s="1"/>
  <c r="AH128" i="7"/>
  <c r="AI128" i="7" s="1"/>
  <c r="AH127" i="7"/>
  <c r="AI127" i="7" s="1"/>
  <c r="AE53" i="7"/>
  <c r="AE115" i="7"/>
  <c r="AE88" i="7"/>
  <c r="AC43" i="7"/>
  <c r="AH43" i="7"/>
  <c r="AI43" i="7" s="1"/>
  <c r="AC135" i="7"/>
  <c r="C43" i="9"/>
  <c r="C45" i="9" s="1"/>
  <c r="C46" i="9" s="1"/>
  <c r="U82" i="7"/>
  <c r="W22" i="7"/>
  <c r="C23" i="9" s="1"/>
  <c r="B80" i="9" s="1"/>
  <c r="AE135" i="7"/>
  <c r="W82" i="7"/>
  <c r="AB133" i="7"/>
  <c r="AD133" i="7" s="1"/>
  <c r="X22" i="7"/>
  <c r="U22" i="7"/>
  <c r="AC88" i="7"/>
  <c r="C48" i="9"/>
  <c r="C52" i="9" s="1"/>
  <c r="C53" i="9" s="1"/>
  <c r="C54" i="9" s="1"/>
  <c r="Y112" i="7"/>
  <c r="AB118" i="7"/>
  <c r="V112" i="7"/>
  <c r="X112" i="7"/>
  <c r="AA112" i="7"/>
  <c r="F9" i="7" s="1"/>
  <c r="Z112" i="7"/>
  <c r="AE61" i="7"/>
  <c r="AE121" i="7"/>
  <c r="AE42" i="7"/>
  <c r="AC42" i="7"/>
  <c r="AC61" i="7"/>
  <c r="AC121" i="7"/>
  <c r="C85" i="9"/>
  <c r="C32" i="9"/>
  <c r="C36" i="9" s="1"/>
  <c r="C37" i="9" s="1"/>
  <c r="C38" i="9" s="1"/>
  <c r="AC115" i="7"/>
  <c r="AE85" i="7"/>
  <c r="AC85" i="7"/>
  <c r="Y22" i="7"/>
  <c r="AG112" i="7"/>
  <c r="F15" i="7" s="1"/>
  <c r="G23" i="3" s="1"/>
  <c r="Z22" i="7"/>
  <c r="W52" i="7"/>
  <c r="X102" i="7"/>
  <c r="Y102" i="7" s="1"/>
  <c r="Z102" i="7" s="1"/>
  <c r="AA102" i="7" s="1"/>
  <c r="Z82" i="7"/>
  <c r="V82" i="7"/>
  <c r="Y82" i="7"/>
  <c r="X82" i="7"/>
  <c r="AC67" i="7"/>
  <c r="AE67" i="7"/>
  <c r="AC128" i="7"/>
  <c r="AE128" i="7"/>
  <c r="AE55" i="7"/>
  <c r="AC55" i="7"/>
  <c r="AE125" i="7"/>
  <c r="AC125" i="7"/>
  <c r="AE97" i="7"/>
  <c r="AC97" i="7"/>
  <c r="AE123" i="7"/>
  <c r="AC123" i="7"/>
  <c r="AB72" i="7"/>
  <c r="AD72" i="7" s="1"/>
  <c r="AC120" i="7"/>
  <c r="AE120" i="7"/>
  <c r="AC94" i="7"/>
  <c r="AE94" i="7"/>
  <c r="AC98" i="7"/>
  <c r="AE98" i="7"/>
  <c r="AC96" i="7"/>
  <c r="AE96" i="7"/>
  <c r="AC95" i="7"/>
  <c r="AE95" i="7"/>
  <c r="AG74" i="7"/>
  <c r="AB74" i="7"/>
  <c r="AD74" i="7" s="1"/>
  <c r="U52" i="7"/>
  <c r="AC127" i="7"/>
  <c r="AE127" i="7"/>
  <c r="X65" i="7"/>
  <c r="Y65" i="7" s="1"/>
  <c r="Z65" i="7" s="1"/>
  <c r="AA65" i="7" s="1"/>
  <c r="V52" i="7"/>
  <c r="V22" i="7"/>
  <c r="AL143" i="7"/>
  <c r="D12" i="7" s="1"/>
  <c r="E20" i="3" s="1"/>
  <c r="E34" i="3" s="1"/>
  <c r="E38" i="3" s="1"/>
  <c r="E42" i="3" s="1"/>
  <c r="E46" i="3" s="1"/>
  <c r="E50" i="3" s="1"/>
  <c r="E54" i="3" s="1"/>
  <c r="E58" i="3" s="1"/>
  <c r="E62" i="3" s="1"/>
  <c r="E66" i="3" s="1"/>
  <c r="E70" i="3" s="1"/>
  <c r="C26" i="9"/>
  <c r="AB153" i="7"/>
  <c r="AC32" i="7"/>
  <c r="AE32" i="7"/>
  <c r="AB44" i="7"/>
  <c r="AB165" i="7"/>
  <c r="AB157" i="7"/>
  <c r="AG157" i="7"/>
  <c r="AE36" i="7"/>
  <c r="AC36" i="7"/>
  <c r="AC145" i="7"/>
  <c r="AE145" i="7"/>
  <c r="AB152" i="7"/>
  <c r="AD152" i="7" s="1"/>
  <c r="AC31" i="7"/>
  <c r="AE31" i="7"/>
  <c r="AE43" i="7"/>
  <c r="U143" i="7"/>
  <c r="B121" i="9" s="1"/>
  <c r="C86" i="9"/>
  <c r="AB164" i="7"/>
  <c r="AG28" i="7"/>
  <c r="AB28" i="7"/>
  <c r="AA22" i="7"/>
  <c r="X149" i="7"/>
  <c r="Y149" i="7" s="1"/>
  <c r="Z149" i="7" s="1"/>
  <c r="AA149" i="7" s="1"/>
  <c r="X143" i="7"/>
  <c r="Z143" i="7"/>
  <c r="V143" i="7"/>
  <c r="Y143" i="7"/>
  <c r="W143" i="7"/>
  <c r="L24" i="3"/>
  <c r="D41" i="3"/>
  <c r="D40" i="3"/>
  <c r="D42" i="3"/>
  <c r="D39" i="3"/>
  <c r="AC203" i="7" l="1"/>
  <c r="AG22" i="7"/>
  <c r="AI203" i="7"/>
  <c r="AD203" i="7"/>
  <c r="AC29" i="7"/>
  <c r="AH29" i="7"/>
  <c r="AI29" i="7" s="1"/>
  <c r="AE29" i="7"/>
  <c r="AE203" i="7"/>
  <c r="AH103" i="7"/>
  <c r="AI103" i="7" s="1"/>
  <c r="AD103" i="7"/>
  <c r="AH164" i="7"/>
  <c r="AI164" i="7" s="1"/>
  <c r="AD164" i="7"/>
  <c r="AH157" i="7"/>
  <c r="AI157" i="7" s="1"/>
  <c r="AD157" i="7"/>
  <c r="AH118" i="7"/>
  <c r="AI118" i="7" s="1"/>
  <c r="AD118" i="7"/>
  <c r="AH165" i="7"/>
  <c r="AI165" i="7" s="1"/>
  <c r="AD165" i="7"/>
  <c r="AH153" i="7"/>
  <c r="AI153" i="7" s="1"/>
  <c r="AD153" i="7"/>
  <c r="AH28" i="7"/>
  <c r="AI28" i="7" s="1"/>
  <c r="AD28" i="7"/>
  <c r="AH44" i="7"/>
  <c r="AI44" i="7" s="1"/>
  <c r="AD44" i="7"/>
  <c r="AC103" i="7"/>
  <c r="AD233" i="7"/>
  <c r="AI233" i="7"/>
  <c r="AH233" i="7"/>
  <c r="AE233" i="7"/>
  <c r="AC233" i="7"/>
  <c r="AC173" i="7"/>
  <c r="AD173" i="7"/>
  <c r="AE173" i="7"/>
  <c r="AH203" i="7"/>
  <c r="AI173" i="7"/>
  <c r="AH173" i="7"/>
  <c r="F34" i="3"/>
  <c r="F38" i="3" s="1"/>
  <c r="F42" i="3" s="1"/>
  <c r="F46" i="3" s="1"/>
  <c r="F50" i="3" s="1"/>
  <c r="F54" i="3" s="1"/>
  <c r="F58" i="3" s="1"/>
  <c r="F62" i="3" s="1"/>
  <c r="F66" i="3" s="1"/>
  <c r="F70" i="3" s="1"/>
  <c r="E16" i="7"/>
  <c r="AH133" i="7"/>
  <c r="AH112" i="7" s="1"/>
  <c r="AH74" i="7"/>
  <c r="AI74" i="7" s="1"/>
  <c r="AH72" i="7"/>
  <c r="AI72" i="7" s="1"/>
  <c r="AI115" i="7"/>
  <c r="AC118" i="7"/>
  <c r="AI85" i="7"/>
  <c r="AH152" i="7"/>
  <c r="AI152" i="7" s="1"/>
  <c r="AC133" i="7"/>
  <c r="C27" i="9"/>
  <c r="C24" i="9"/>
  <c r="C28" i="9" s="1"/>
  <c r="AE133" i="7"/>
  <c r="C87" i="9"/>
  <c r="G12" i="3"/>
  <c r="AE118" i="7"/>
  <c r="AB112" i="7"/>
  <c r="Z52" i="7"/>
  <c r="X52" i="7"/>
  <c r="Y52" i="7"/>
  <c r="G37" i="3"/>
  <c r="G41" i="3" s="1"/>
  <c r="G45" i="3" s="1"/>
  <c r="G49" i="3" s="1"/>
  <c r="G53" i="3" s="1"/>
  <c r="G57" i="3" s="1"/>
  <c r="G61" i="3" s="1"/>
  <c r="G65" i="3" s="1"/>
  <c r="G69" i="3" s="1"/>
  <c r="G73" i="3" s="1"/>
  <c r="AG65" i="7"/>
  <c r="AG52" i="7" s="1"/>
  <c r="F13" i="7" s="1"/>
  <c r="AA52" i="7"/>
  <c r="F7" i="7" s="1"/>
  <c r="AB65" i="7"/>
  <c r="AD65" i="7" s="1"/>
  <c r="AE74" i="7"/>
  <c r="AC74" i="7"/>
  <c r="AC72" i="7"/>
  <c r="AE72" i="7"/>
  <c r="AG102" i="7"/>
  <c r="AG82" i="7" s="1"/>
  <c r="F14" i="7" s="1"/>
  <c r="AB102" i="7"/>
  <c r="AD102" i="7" s="1"/>
  <c r="AA82" i="7"/>
  <c r="F8" i="7" s="1"/>
  <c r="E24" i="3"/>
  <c r="D16" i="7"/>
  <c r="AE165" i="7"/>
  <c r="AC165" i="7"/>
  <c r="AC44" i="7"/>
  <c r="AE44" i="7"/>
  <c r="AC153" i="7"/>
  <c r="AE153" i="7"/>
  <c r="AC152" i="7"/>
  <c r="AE157" i="7"/>
  <c r="AC157" i="7"/>
  <c r="AE152" i="7"/>
  <c r="AE28" i="7"/>
  <c r="AC28" i="7"/>
  <c r="AB22" i="7"/>
  <c r="AG149" i="7"/>
  <c r="AG143" i="7" s="1"/>
  <c r="F12" i="7" s="1"/>
  <c r="AA143" i="7"/>
  <c r="F6" i="7" s="1"/>
  <c r="AB149" i="7"/>
  <c r="C83" i="9"/>
  <c r="C84" i="9" s="1"/>
  <c r="C88" i="9" s="1"/>
  <c r="B122" i="9"/>
  <c r="AC164" i="7"/>
  <c r="AE164" i="7"/>
  <c r="D33" i="13"/>
  <c r="C3" i="14" s="1"/>
  <c r="D43" i="3"/>
  <c r="D45" i="3"/>
  <c r="D44" i="3"/>
  <c r="D46" i="3"/>
  <c r="AE112" i="7" l="1"/>
  <c r="AH22" i="7"/>
  <c r="AI22" i="7"/>
  <c r="AI133" i="7"/>
  <c r="AI112" i="7" s="1"/>
  <c r="G15" i="7" s="1"/>
  <c r="AH149" i="7"/>
  <c r="AH143" i="7" s="1"/>
  <c r="AD149" i="7"/>
  <c r="AD143" i="7" s="1"/>
  <c r="AD112" i="7"/>
  <c r="C29" i="9"/>
  <c r="C30" i="9" s="1"/>
  <c r="AH102" i="7"/>
  <c r="AH65" i="7"/>
  <c r="AC112" i="7"/>
  <c r="G9" i="7"/>
  <c r="AI149" i="7"/>
  <c r="AI143" i="7" s="1"/>
  <c r="C89" i="9"/>
  <c r="C116" i="9" s="1"/>
  <c r="K41" i="3"/>
  <c r="K37" i="3"/>
  <c r="AC22" i="7"/>
  <c r="AE22" i="7"/>
  <c r="AC102" i="7"/>
  <c r="AC82" i="7" s="1"/>
  <c r="AE102" i="7"/>
  <c r="AE82" i="7" s="1"/>
  <c r="AD82" i="7"/>
  <c r="AB82" i="7"/>
  <c r="AD52" i="7"/>
  <c r="AB52" i="7"/>
  <c r="AE65" i="7"/>
  <c r="AE52" i="7" s="1"/>
  <c r="AC65" i="7"/>
  <c r="AC52" i="7" s="1"/>
  <c r="G22" i="3"/>
  <c r="G10" i="3"/>
  <c r="G21" i="3"/>
  <c r="G11" i="3"/>
  <c r="AD22" i="7"/>
  <c r="G9" i="3"/>
  <c r="G20" i="3"/>
  <c r="F16" i="7"/>
  <c r="AC149" i="7"/>
  <c r="AC143" i="7" s="1"/>
  <c r="AB143" i="7"/>
  <c r="B20" i="1" s="1"/>
  <c r="AE149" i="7"/>
  <c r="AE143" i="7" s="1"/>
  <c r="D3" i="14"/>
  <c r="E3" i="14"/>
  <c r="D50" i="3"/>
  <c r="D48" i="3"/>
  <c r="D47" i="3"/>
  <c r="K45" i="3"/>
  <c r="D49" i="3"/>
  <c r="G6" i="7" l="1"/>
  <c r="I9" i="3" s="1"/>
  <c r="K9" i="3" s="1"/>
  <c r="G12" i="7"/>
  <c r="H12" i="7" s="1"/>
  <c r="C55" i="9"/>
  <c r="C115" i="9" s="1"/>
  <c r="AI65" i="7"/>
  <c r="AH52" i="7"/>
  <c r="G7" i="7" s="1"/>
  <c r="AI102" i="7"/>
  <c r="AH82" i="7"/>
  <c r="G8" i="7" s="1"/>
  <c r="I11" i="3" s="1"/>
  <c r="K11" i="3" s="1"/>
  <c r="M11" i="3" s="1"/>
  <c r="B19" i="1"/>
  <c r="C90" i="9"/>
  <c r="I23" i="3"/>
  <c r="H15" i="7"/>
  <c r="I12" i="3"/>
  <c r="H9" i="7"/>
  <c r="G35" i="3"/>
  <c r="G36" i="3"/>
  <c r="G13" i="3"/>
  <c r="G24" i="3"/>
  <c r="G34" i="3"/>
  <c r="D52" i="3"/>
  <c r="D51" i="3"/>
  <c r="D53" i="3"/>
  <c r="K49" i="3"/>
  <c r="D54" i="3"/>
  <c r="H6" i="7" l="1"/>
  <c r="I20" i="3"/>
  <c r="K20" i="3" s="1"/>
  <c r="N20" i="3" s="1"/>
  <c r="AI82" i="7"/>
  <c r="G14" i="7" s="1"/>
  <c r="AI52" i="7"/>
  <c r="G13" i="7" s="1"/>
  <c r="J11" i="3"/>
  <c r="H8" i="7"/>
  <c r="I10" i="3"/>
  <c r="I13" i="3" s="1"/>
  <c r="H7" i="7"/>
  <c r="J9" i="3"/>
  <c r="J12" i="3"/>
  <c r="K12" i="3"/>
  <c r="M12" i="3" s="1"/>
  <c r="J23" i="3"/>
  <c r="K23" i="3"/>
  <c r="N23" i="3" s="1"/>
  <c r="G39" i="3"/>
  <c r="K35" i="3"/>
  <c r="G40" i="3"/>
  <c r="K36" i="3"/>
  <c r="M9" i="3"/>
  <c r="G38" i="3"/>
  <c r="K34" i="3"/>
  <c r="D56" i="3"/>
  <c r="K53" i="3"/>
  <c r="D57" i="3"/>
  <c r="D55" i="3"/>
  <c r="D58" i="3"/>
  <c r="J20" i="3" l="1"/>
  <c r="I21" i="3"/>
  <c r="H13" i="7"/>
  <c r="G16" i="7"/>
  <c r="H16" i="7" s="1"/>
  <c r="I22" i="3"/>
  <c r="H14" i="7"/>
  <c r="J10" i="3"/>
  <c r="J13" i="3" s="1"/>
  <c r="K10" i="3"/>
  <c r="M10" i="3" s="1"/>
  <c r="M13" i="3" s="1"/>
  <c r="G44" i="3"/>
  <c r="K40" i="3"/>
  <c r="G43" i="3"/>
  <c r="K39" i="3"/>
  <c r="G42" i="3"/>
  <c r="K38" i="3"/>
  <c r="L34" i="3"/>
  <c r="B29" i="3"/>
  <c r="D59" i="3"/>
  <c r="K57" i="3"/>
  <c r="D61" i="3"/>
  <c r="D62" i="3"/>
  <c r="D60" i="3"/>
  <c r="K22" i="3" l="1"/>
  <c r="N22" i="3" s="1"/>
  <c r="J22" i="3"/>
  <c r="J21" i="3"/>
  <c r="K21" i="3"/>
  <c r="I24" i="3"/>
  <c r="K13" i="3"/>
  <c r="G47" i="3"/>
  <c r="K43" i="3"/>
  <c r="G48" i="3"/>
  <c r="K44" i="3"/>
  <c r="L35" i="3"/>
  <c r="M34" i="3"/>
  <c r="G46" i="3"/>
  <c r="K42" i="3"/>
  <c r="D66" i="3"/>
  <c r="D65" i="3"/>
  <c r="K61" i="3"/>
  <c r="D64" i="3"/>
  <c r="D63" i="3"/>
  <c r="J24" i="3" l="1"/>
  <c r="N21" i="3"/>
  <c r="N24" i="3" s="1"/>
  <c r="K24" i="3"/>
  <c r="D35" i="13" s="1"/>
  <c r="G52" i="3"/>
  <c r="K48" i="3"/>
  <c r="G51" i="3"/>
  <c r="K47" i="3"/>
  <c r="G50" i="3"/>
  <c r="K46" i="3"/>
  <c r="L36" i="3"/>
  <c r="M35" i="3"/>
  <c r="D68" i="3"/>
  <c r="D69" i="3"/>
  <c r="K65" i="3"/>
  <c r="D67" i="3"/>
  <c r="D70" i="3"/>
  <c r="D41" i="13" l="1"/>
  <c r="C4" i="14"/>
  <c r="G55" i="3"/>
  <c r="K51" i="3"/>
  <c r="G56" i="3"/>
  <c r="K52" i="3"/>
  <c r="G54" i="3"/>
  <c r="K50" i="3"/>
  <c r="M36" i="3"/>
  <c r="L37" i="3"/>
  <c r="D72" i="3"/>
  <c r="D73" i="3"/>
  <c r="K73" i="3" s="1"/>
  <c r="K69" i="3"/>
  <c r="D71" i="3"/>
  <c r="E4" i="14" l="1"/>
  <c r="D4" i="14"/>
  <c r="C8" i="14"/>
  <c r="G59" i="3"/>
  <c r="K55" i="3"/>
  <c r="G60" i="3"/>
  <c r="K56" i="3"/>
  <c r="M37" i="3"/>
  <c r="L38" i="3"/>
  <c r="G58" i="3"/>
  <c r="K54" i="3"/>
  <c r="E8" i="14" l="1"/>
  <c r="D8" i="14"/>
  <c r="C9" i="14"/>
  <c r="G63" i="3"/>
  <c r="K59" i="3"/>
  <c r="G64" i="3"/>
  <c r="K60" i="3"/>
  <c r="G62" i="3"/>
  <c r="K58" i="3"/>
  <c r="M38" i="3"/>
  <c r="L39" i="3"/>
  <c r="E9" i="14" l="1"/>
  <c r="D9" i="14"/>
  <c r="B27" i="3"/>
  <c r="G68" i="3"/>
  <c r="K64" i="3"/>
  <c r="G67" i="3"/>
  <c r="K63" i="3"/>
  <c r="M39" i="3"/>
  <c r="L40" i="3"/>
  <c r="B28" i="3"/>
  <c r="G66" i="3"/>
  <c r="K62" i="3"/>
  <c r="G72" i="3" l="1"/>
  <c r="K72" i="3" s="1"/>
  <c r="K68" i="3"/>
  <c r="G71" i="3"/>
  <c r="K71" i="3" s="1"/>
  <c r="K67" i="3"/>
  <c r="L41" i="3"/>
  <c r="M40" i="3"/>
  <c r="G70" i="3"/>
  <c r="K70" i="3" s="1"/>
  <c r="K66" i="3"/>
  <c r="M41" i="3" l="1"/>
  <c r="L42" i="3"/>
  <c r="L43" i="3" l="1"/>
  <c r="M42" i="3"/>
  <c r="M43" i="3" l="1"/>
  <c r="L44" i="3"/>
  <c r="M44" i="3" l="1"/>
  <c r="L45" i="3"/>
  <c r="M45" i="3" l="1"/>
  <c r="L46" i="3"/>
  <c r="M46" i="3" l="1"/>
  <c r="L47" i="3"/>
  <c r="M47" i="3" l="1"/>
  <c r="L48" i="3"/>
  <c r="L49" i="3" l="1"/>
  <c r="M48" i="3"/>
  <c r="L50" i="3" l="1"/>
  <c r="M49" i="3"/>
  <c r="M50" i="3" l="1"/>
  <c r="L51" i="3"/>
  <c r="M51" i="3" l="1"/>
  <c r="L52" i="3"/>
  <c r="L53" i="3" l="1"/>
  <c r="M52" i="3"/>
  <c r="L54" i="3" l="1"/>
  <c r="M53" i="3"/>
  <c r="L55" i="3" l="1"/>
  <c r="M54" i="3"/>
  <c r="L56" i="3" l="1"/>
  <c r="M55" i="3"/>
  <c r="L57" i="3" l="1"/>
  <c r="M56" i="3"/>
  <c r="L58" i="3" l="1"/>
  <c r="M57" i="3"/>
  <c r="L59" i="3" l="1"/>
  <c r="M58" i="3"/>
  <c r="L60" i="3" l="1"/>
  <c r="M59" i="3"/>
  <c r="M60" i="3" l="1"/>
  <c r="L61" i="3"/>
  <c r="L62" i="3" l="1"/>
  <c r="M61" i="3"/>
  <c r="L63" i="3" l="1"/>
  <c r="M62" i="3"/>
  <c r="L64" i="3" l="1"/>
  <c r="M63" i="3"/>
  <c r="M64" i="3" l="1"/>
  <c r="L65" i="3"/>
  <c r="M65" i="3" l="1"/>
  <c r="L66" i="3"/>
  <c r="L67" i="3" l="1"/>
  <c r="M66" i="3"/>
  <c r="M67" i="3" l="1"/>
  <c r="L68" i="3"/>
  <c r="M68" i="3" l="1"/>
  <c r="L69" i="3"/>
  <c r="L70" i="3" l="1"/>
  <c r="M69" i="3"/>
  <c r="L71" i="3" l="1"/>
  <c r="M70" i="3"/>
  <c r="M71" i="3" l="1"/>
  <c r="L72" i="3"/>
  <c r="M72" i="3" l="1"/>
  <c r="L73" i="3"/>
  <c r="M7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Victor</author>
  </authors>
  <commentList>
    <comment ref="K20" authorId="0" shapeId="0" xr:uid="{00000000-0006-0000-0100-000001000000}">
      <text>
        <r>
          <rPr>
            <b/>
            <sz val="9"/>
            <color indexed="81"/>
            <rFont val="Tahoma"/>
            <family val="2"/>
          </rPr>
          <t>Victor:</t>
        </r>
        <r>
          <rPr>
            <sz val="9"/>
            <color indexed="81"/>
            <rFont val="Tahoma"/>
            <family val="2"/>
          </rPr>
          <t xml:space="preserve">
Energy consumption = Grid consumption + Battery storage kWh + Solar consumption</t>
        </r>
      </text>
    </comment>
    <comment ref="K50" authorId="0" shapeId="0" xr:uid="{174D8B1B-2618-4016-85E6-08E082C30A55}">
      <text>
        <r>
          <rPr>
            <b/>
            <sz val="9"/>
            <color indexed="81"/>
            <rFont val="Tahoma"/>
            <family val="2"/>
          </rPr>
          <t>Victor:</t>
        </r>
        <r>
          <rPr>
            <sz val="9"/>
            <color indexed="81"/>
            <rFont val="Tahoma"/>
            <family val="2"/>
          </rPr>
          <t xml:space="preserve">
Energy consumption = Grid consumption + Battery storage kWh + Solar consumption</t>
        </r>
      </text>
    </comment>
    <comment ref="K80" authorId="0" shapeId="0" xr:uid="{375DA677-8915-47E7-8986-1CB5DA14B726}">
      <text>
        <r>
          <rPr>
            <b/>
            <sz val="9"/>
            <color indexed="81"/>
            <rFont val="Tahoma"/>
            <family val="2"/>
          </rPr>
          <t>Victor:</t>
        </r>
        <r>
          <rPr>
            <sz val="9"/>
            <color indexed="81"/>
            <rFont val="Tahoma"/>
            <family val="2"/>
          </rPr>
          <t xml:space="preserve">
Energy consumption = Grid consumption + Battery storage kWh + Solar consumption</t>
        </r>
      </text>
    </comment>
    <comment ref="K110" authorId="0" shapeId="0" xr:uid="{49D3C3F8-0688-413C-A0ED-343A8F19C5E7}">
      <text>
        <r>
          <rPr>
            <b/>
            <sz val="9"/>
            <color indexed="81"/>
            <rFont val="Tahoma"/>
            <family val="2"/>
          </rPr>
          <t>Victor:</t>
        </r>
        <r>
          <rPr>
            <sz val="9"/>
            <color indexed="81"/>
            <rFont val="Tahoma"/>
            <family val="2"/>
          </rPr>
          <t xml:space="preserve">
Energy consumption = Grid consumption + Battery storage kWh + Solar consumption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Victor</author>
  </authors>
  <commentList>
    <comment ref="C2" authorId="0" shapeId="0" xr:uid="{77FDBB9A-2D95-45C2-AFF6-AA7FFB1E03B8}">
      <text>
        <r>
          <rPr>
            <b/>
            <sz val="9"/>
            <color indexed="81"/>
            <rFont val="Tahoma"/>
            <family val="2"/>
          </rPr>
          <t>Victor:</t>
        </r>
        <r>
          <rPr>
            <sz val="9"/>
            <color indexed="81"/>
            <rFont val="Tahoma"/>
            <family val="2"/>
          </rPr>
          <t xml:space="preserve">
Residential Tariff (inc GST)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Victor</author>
  </authors>
  <commentList>
    <comment ref="A24" authorId="0" shapeId="0" xr:uid="{00000000-0006-0000-0700-000001000000}">
      <text>
        <r>
          <rPr>
            <b/>
            <sz val="9"/>
            <color indexed="81"/>
            <rFont val="Tahoma"/>
            <family val="2"/>
          </rPr>
          <t>Victor:</t>
        </r>
        <r>
          <rPr>
            <sz val="9"/>
            <color indexed="81"/>
            <rFont val="Tahoma"/>
            <family val="2"/>
          </rPr>
          <t xml:space="preserve">
https://www.accc.gov.au/system/files/Retail%20Electricity%20Inquiry%20-%20Preliminary%20report%20-%2013%20November%202017.pdf</t>
        </r>
      </text>
    </comment>
    <comment ref="A46" authorId="0" shapeId="0" xr:uid="{00000000-0006-0000-0700-000002000000}">
      <text>
        <r>
          <rPr>
            <b/>
            <sz val="9"/>
            <color indexed="81"/>
            <rFont val="Tahoma"/>
            <family val="2"/>
          </rPr>
          <t>Victor:</t>
        </r>
        <r>
          <rPr>
            <sz val="9"/>
            <color indexed="81"/>
            <rFont val="Tahoma"/>
            <family val="2"/>
          </rPr>
          <t xml:space="preserve">
https://www.miretailenergy.com.au/pdfs/indices_11_2017.pdf</t>
        </r>
      </text>
    </comment>
  </commentList>
</comments>
</file>

<file path=xl/sharedStrings.xml><?xml version="1.0" encoding="utf-8"?>
<sst xmlns="http://schemas.openxmlformats.org/spreadsheetml/2006/main" count="1094" uniqueCount="254">
  <si>
    <r>
      <t xml:space="preserve">EdgeIQ
</t>
    </r>
    <r>
      <rPr>
        <i/>
        <sz val="14"/>
        <color rgb="FF00B0F0"/>
        <rFont val="Montserrat"/>
      </rPr>
      <t>The simple, smart power filter for your home</t>
    </r>
  </si>
  <si>
    <t>State</t>
  </si>
  <si>
    <t>NSW</t>
  </si>
  <si>
    <t>Voltage</t>
  </si>
  <si>
    <t>Monthly usage (kWh)</t>
  </si>
  <si>
    <t>Energy Tariff ($/kWh)</t>
  </si>
  <si>
    <t>Solar (kW)</t>
  </si>
  <si>
    <t>Solar FiT ($/kWh)</t>
  </si>
  <si>
    <t>Energy Savings</t>
  </si>
  <si>
    <t>Solar Savings</t>
  </si>
  <si>
    <t>Appliance protection</t>
  </si>
  <si>
    <t>Surge Protection</t>
  </si>
  <si>
    <t>EdgeIQ Total Benefit</t>
  </si>
  <si>
    <t>Savings</t>
  </si>
  <si>
    <t>Annual</t>
  </si>
  <si>
    <t>Monthly</t>
  </si>
  <si>
    <t>Daily Savings</t>
  </si>
  <si>
    <t>Appliance Protection</t>
  </si>
  <si>
    <t>Base Savings</t>
  </si>
  <si>
    <t>Incremental Savings</t>
  </si>
  <si>
    <t>Total</t>
  </si>
  <si>
    <t>Primary Inputs</t>
  </si>
  <si>
    <t>Operating Assumptions</t>
  </si>
  <si>
    <t>Vgrid</t>
  </si>
  <si>
    <t>Vregulated</t>
  </si>
  <si>
    <t>Bypass limit</t>
  </si>
  <si>
    <t>Resistance</t>
  </si>
  <si>
    <t>Usage (kWh p.a.)</t>
  </si>
  <si>
    <t>Load Profiles</t>
  </si>
  <si>
    <t>DVRF</t>
  </si>
  <si>
    <t>Energy tariff</t>
  </si>
  <si>
    <t>Days open (SME)</t>
  </si>
  <si>
    <t>Customer Type</t>
  </si>
  <si>
    <t>Home</t>
  </si>
  <si>
    <t>Unit Size</t>
  </si>
  <si>
    <t>Solar Assumptions</t>
  </si>
  <si>
    <t>System Size</t>
  </si>
  <si>
    <t>Annual generation (Base)</t>
  </si>
  <si>
    <t>Annual generation (Before)</t>
  </si>
  <si>
    <t>Annual generation (After)</t>
  </si>
  <si>
    <t>Daytime load</t>
  </si>
  <si>
    <t>FiT type</t>
  </si>
  <si>
    <t>Standard FiT</t>
  </si>
  <si>
    <t>Solar FIT</t>
  </si>
  <si>
    <t>EIQ MPPT improvement</t>
  </si>
  <si>
    <t>OVP Assumptions</t>
  </si>
  <si>
    <t>Total value of Appliances</t>
  </si>
  <si>
    <t>Appliance life (years) Before</t>
  </si>
  <si>
    <t>Appliance life (years) After</t>
  </si>
  <si>
    <t>VProtection p.a.</t>
  </si>
  <si>
    <t>Value of Surge Protector</t>
  </si>
  <si>
    <t>Surge Protector Life (Years)</t>
  </si>
  <si>
    <t>Surge Protector Value</t>
  </si>
  <si>
    <t>Seasonality</t>
  </si>
  <si>
    <t>Resi</t>
  </si>
  <si>
    <t>PVout</t>
  </si>
  <si>
    <t>Solar</t>
  </si>
  <si>
    <t>Power flow summary</t>
  </si>
  <si>
    <t>kwh</t>
  </si>
  <si>
    <t>CVR</t>
  </si>
  <si>
    <t>MPPT</t>
  </si>
  <si>
    <t>OVLO</t>
  </si>
  <si>
    <t>Chatter</t>
  </si>
  <si>
    <t>Summer</t>
  </si>
  <si>
    <t>Autumn</t>
  </si>
  <si>
    <t>Winter</t>
  </si>
  <si>
    <t>Spring</t>
  </si>
  <si>
    <t>$</t>
  </si>
  <si>
    <t>December - February (days)</t>
  </si>
  <si>
    <t>Before SolarIQ - Summer</t>
  </si>
  <si>
    <t>Profiles</t>
  </si>
  <si>
    <t>Demand Base</t>
  </si>
  <si>
    <t>Demand including OVLO losses</t>
  </si>
  <si>
    <t>Chatter calculations</t>
  </si>
  <si>
    <t>Demand including OVLO + Chatter</t>
  </si>
  <si>
    <t>OVP Losses</t>
  </si>
  <si>
    <t>Time</t>
  </si>
  <si>
    <t>Efficiency</t>
  </si>
  <si>
    <t>Voltage reduction</t>
  </si>
  <si>
    <t>Energy savings gross</t>
  </si>
  <si>
    <t>Energy savings net</t>
  </si>
  <si>
    <t>Consumption load profile</t>
  </si>
  <si>
    <t xml:space="preserve">Solar generation profile </t>
  </si>
  <si>
    <t>Energy consumption</t>
  </si>
  <si>
    <t>Bypass (Power)</t>
  </si>
  <si>
    <t>Solar generation</t>
  </si>
  <si>
    <t>Grid consumption</t>
  </si>
  <si>
    <t>Solar export</t>
  </si>
  <si>
    <t>Solar Energy Consumed</t>
  </si>
  <si>
    <t>OVLO Energy Loss</t>
  </si>
  <si>
    <t>Export Current</t>
  </si>
  <si>
    <t>Delta V</t>
  </si>
  <si>
    <t>Inverter Voltage</t>
  </si>
  <si>
    <t>Relay Chatter Energy Loss</t>
  </si>
  <si>
    <t>OVLO Value</t>
  </si>
  <si>
    <t>Relay Chatter Value Loss</t>
  </si>
  <si>
    <t>Voltage (V)</t>
  </si>
  <si>
    <t>Chatter Occurrence</t>
  </si>
  <si>
    <t>V</t>
  </si>
  <si>
    <t>% of total</t>
  </si>
  <si>
    <t>kWh</t>
  </si>
  <si>
    <t>%</t>
  </si>
  <si>
    <t>Amp</t>
  </si>
  <si>
    <t>March - May (days)</t>
  </si>
  <si>
    <t>Before SolarIQ - Autumn</t>
  </si>
  <si>
    <t>Demand including OVLO + Chatter losses</t>
  </si>
  <si>
    <t>June - August (days)</t>
  </si>
  <si>
    <t>Before SolarIQ - Winter</t>
  </si>
  <si>
    <t>September - November (days)</t>
  </si>
  <si>
    <t>Before SolarIQ - Spring</t>
  </si>
  <si>
    <t>After EIQ - Summer</t>
  </si>
  <si>
    <t>EdgeIQ Value</t>
  </si>
  <si>
    <t>Bypass</t>
  </si>
  <si>
    <t>Chatter Value</t>
  </si>
  <si>
    <t>MPPT Value</t>
  </si>
  <si>
    <t>CVR Value</t>
  </si>
  <si>
    <t>After EIQ - Autumn</t>
  </si>
  <si>
    <t>After EIQ - Winter</t>
  </si>
  <si>
    <t>After EIQ - Spring</t>
  </si>
  <si>
    <t>OUTPUTS</t>
  </si>
  <si>
    <t xml:space="preserve">*Please view Annual outputs (in grey) in light of the model limitations. They are kept here as a guide but may overestimate the real world benefits once accounting for daily variation in generation and demand.  </t>
  </si>
  <si>
    <t>All savings and benefits are relative to 100% grid power, unless stated</t>
  </si>
  <si>
    <t>GRID ONLY (NO SOLAR, NO BATTERY)</t>
  </si>
  <si>
    <t>No SolarIQ</t>
  </si>
  <si>
    <t>With SolarIQ</t>
  </si>
  <si>
    <t>Daily (Summer)</t>
  </si>
  <si>
    <t>Grid consumption Daytime</t>
  </si>
  <si>
    <t>kWh/day</t>
  </si>
  <si>
    <t>Grid consumption Non-day time</t>
  </si>
  <si>
    <t>Grid cost (excludes fixed costs)</t>
  </si>
  <si>
    <t>$/day</t>
  </si>
  <si>
    <t>Daily (Autumn)</t>
  </si>
  <si>
    <t>Daily (Winter)</t>
  </si>
  <si>
    <t>Daily (Spring)</t>
  </si>
  <si>
    <t>$/yr</t>
  </si>
  <si>
    <t xml:space="preserve">SOLAR ONLY </t>
  </si>
  <si>
    <t>Daily Indicators (Summer)</t>
  </si>
  <si>
    <t>Solar energy used</t>
  </si>
  <si>
    <t>Solar energy exported</t>
  </si>
  <si>
    <t>Energy savings</t>
  </si>
  <si>
    <t>Export credits</t>
  </si>
  <si>
    <t>Net benefit (exports + saving)</t>
  </si>
  <si>
    <t>Grid cost (exc. fixed costs)</t>
  </si>
  <si>
    <t>Daily Indicators (Autumn)</t>
  </si>
  <si>
    <t>Daily Indicators (Winter)</t>
  </si>
  <si>
    <t>Daily Indicators (Spring)</t>
  </si>
  <si>
    <t>Annual extrapolation*</t>
  </si>
  <si>
    <t>Annual benefit</t>
  </si>
  <si>
    <t>PIE CHART CALCULATIONS</t>
  </si>
  <si>
    <t>Solar only</t>
  </si>
  <si>
    <t>Grid</t>
  </si>
  <si>
    <t xml:space="preserve">SOLAR + SolarIQ </t>
  </si>
  <si>
    <t>Total SolarIQ annual benefit</t>
  </si>
  <si>
    <t>Total annual benefit</t>
  </si>
  <si>
    <t>Solar +SolarIQ</t>
  </si>
  <si>
    <t>Financial Calculations</t>
  </si>
  <si>
    <t>AUD</t>
  </si>
  <si>
    <t>Units</t>
  </si>
  <si>
    <t>Energy Buckets</t>
  </si>
  <si>
    <t>Protection (Appliance)</t>
  </si>
  <si>
    <t>Energy</t>
  </si>
  <si>
    <t>Q1 (Summer)</t>
  </si>
  <si>
    <t>Q2</t>
  </si>
  <si>
    <t>Q3</t>
  </si>
  <si>
    <t>Q4</t>
  </si>
  <si>
    <t>Cash Buckets</t>
  </si>
  <si>
    <t>CAPEX</t>
  </si>
  <si>
    <t>Protection</t>
  </si>
  <si>
    <t>AUD/kWH</t>
  </si>
  <si>
    <t>CPI</t>
  </si>
  <si>
    <t>Hurdle</t>
  </si>
  <si>
    <t>NPV10</t>
  </si>
  <si>
    <t>XIRR</t>
  </si>
  <si>
    <t>Payback (yrs)</t>
  </si>
  <si>
    <t>Dampeners</t>
  </si>
  <si>
    <t>Outlay</t>
  </si>
  <si>
    <t>Cumulative</t>
  </si>
  <si>
    <t>B/E</t>
  </si>
  <si>
    <t>`</t>
  </si>
  <si>
    <t>Appliance Protection Value</t>
  </si>
  <si>
    <t>Input table</t>
  </si>
  <si>
    <t>Unregulated Voltage (V)</t>
  </si>
  <si>
    <t>Applied Voltage (V)</t>
  </si>
  <si>
    <t>Output table</t>
  </si>
  <si>
    <t>Average Appliance life (years)</t>
  </si>
  <si>
    <t>Depreciation charge</t>
  </si>
  <si>
    <t>New Depreciation charge</t>
  </si>
  <si>
    <t>Average Life (years)</t>
  </si>
  <si>
    <t>Increased average appliance life (years)</t>
  </si>
  <si>
    <t>Total value of voltage regulation in appliance life</t>
  </si>
  <si>
    <t>Annual value of voltage regulation</t>
  </si>
  <si>
    <t xml:space="preserve">Regression parameters for Appliance Protection cals </t>
  </si>
  <si>
    <t>#</t>
  </si>
  <si>
    <t>Intercept</t>
  </si>
  <si>
    <t>Coefficient</t>
  </si>
  <si>
    <t>Average Life (years)= 39.15- 0.11* Applied Voltage (volts)</t>
  </si>
  <si>
    <t>Profile</t>
  </si>
  <si>
    <t>Morning/evening peak</t>
  </si>
  <si>
    <t>Morning/Evening peak with controlled load</t>
  </si>
  <si>
    <t xml:space="preserve"> 'Stay at home' steady daytime load</t>
  </si>
  <si>
    <t>Restaurant</t>
  </si>
  <si>
    <t>Supermarket</t>
  </si>
  <si>
    <t>Petrol Station</t>
  </si>
  <si>
    <t>Selected Load Profile</t>
  </si>
  <si>
    <t>Type</t>
  </si>
  <si>
    <t>Residential</t>
  </si>
  <si>
    <t>SME</t>
  </si>
  <si>
    <t>CHECK (=1)</t>
  </si>
  <si>
    <t>Pload, W</t>
  </si>
  <si>
    <t>Eff</t>
  </si>
  <si>
    <t>SELECT (=1)</t>
  </si>
  <si>
    <t>Voltage Curve %</t>
  </si>
  <si>
    <t>Average Voltage</t>
  </si>
  <si>
    <t>Voltage Profile</t>
  </si>
  <si>
    <t>Solar  Generation Profile</t>
  </si>
  <si>
    <t>kW</t>
  </si>
  <si>
    <t>Unit: $/kWh</t>
  </si>
  <si>
    <t>Premium FiT</t>
  </si>
  <si>
    <t>VIC</t>
  </si>
  <si>
    <t>SA</t>
  </si>
  <si>
    <t>WA</t>
  </si>
  <si>
    <t>QLD</t>
  </si>
  <si>
    <t>TAS</t>
  </si>
  <si>
    <t>NT</t>
  </si>
  <si>
    <t>System Size (kW)</t>
  </si>
  <si>
    <t>Source: CEC</t>
  </si>
  <si>
    <t>Customer</t>
  </si>
  <si>
    <t>Business</t>
  </si>
  <si>
    <t>Summary table of Residential Energy Tariffs</t>
  </si>
  <si>
    <t>Residential electricity price without GST. (c/kWh)*</t>
  </si>
  <si>
    <t>With GST.</t>
  </si>
  <si>
    <t>ACT</t>
  </si>
  <si>
    <t>* AEMC 2016 Electricity Price Trends Report</t>
  </si>
  <si>
    <t>* ACCC Retail Electricity Pricing Inquiry</t>
  </si>
  <si>
    <t>* MarkIntell Major Retailer Residential Electricity 
Price Series</t>
  </si>
  <si>
    <t>Volt-Watt</t>
  </si>
  <si>
    <t>Volt-Watt enabled</t>
  </si>
  <si>
    <t>Volt-Var enabled</t>
  </si>
  <si>
    <t>Yes</t>
  </si>
  <si>
    <t>No</t>
  </si>
  <si>
    <t>Volt-Watt %</t>
  </si>
  <si>
    <t>Power</t>
  </si>
  <si>
    <t>Volt-Watt losses</t>
  </si>
  <si>
    <t>Volt-Var losses</t>
  </si>
  <si>
    <t>VW</t>
  </si>
  <si>
    <t>VWR</t>
  </si>
  <si>
    <t xml:space="preserve">OVLO % </t>
  </si>
  <si>
    <t>Volt-Var</t>
  </si>
  <si>
    <t>Volt-Var %</t>
  </si>
  <si>
    <t>kVA</t>
  </si>
  <si>
    <t>kVAr</t>
  </si>
  <si>
    <t>PF</t>
  </si>
  <si>
    <t>Volt losses</t>
  </si>
  <si>
    <t>Volt-Response 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</si>
</sst>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_(* \(#,##0\);_(* &quot;-&quot;??_);_(@_)"/>
    <numFmt numFmtId="167" formatCode="0.0%"/>
    <numFmt numFmtId="168" formatCode="0.0"/>
    <numFmt numFmtId="169" formatCode="_(&quot;$&quot;* #,##0_);_(&quot;$&quot;* \(#,##0\);_(&quot;$&quot;* &quot;-&quot;??_);_(@_)"/>
    <numFmt numFmtId="170" formatCode="_(* #,##0.0_);_(* \(#,##0.0\);_(* &quot;-&quot;??_);_(@_)"/>
    <numFmt numFmtId="171" formatCode="&quot;$&quot;#,##0"/>
    <numFmt numFmtId="172" formatCode="_-* #,##0_-;\-* #,##0_-;_-* &quot;-&quot;?_-;_-@_-"/>
    <numFmt numFmtId="173" formatCode="0.000"/>
    <numFmt numFmtId="174" formatCode="[$-F400]h:mm:ss\ AM/PM"/>
    <numFmt numFmtId="175" formatCode="_-* #,##0_-;\-* #,##0_-;_-* &quot;-&quot;??_-;_-@_-"/>
    <numFmt numFmtId="176" formatCode="_-* #,##0.0_-;\-* #,##0.0_-;_-* &quot;-&quot;??_-;_-@_-"/>
    <numFmt numFmtId="177" formatCode="&quot;$&quot;#,##0.0"/>
  </numFmts>
  <fonts count="72">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sz val="12"/>
      <color theme="1"/>
      <name val="Calibri"/>
      <family val="2"/>
      <scheme val="minor"/>
    </font>
    <font>
      <sz val="10"/>
      <color theme="1"/>
      <name val="Calibri"/>
      <family val="2"/>
      <scheme val="minor"/>
    </font>
    <font>
      <sz val="10"/>
      <color rgb="FF3F3F3F"/>
      <name val="Calibri"/>
      <family val="2"/>
      <scheme val="minor"/>
    </font>
    <font>
      <sz val="10"/>
      <color rgb="FF3F3F76"/>
      <name val="Calibri"/>
      <family val="2"/>
      <scheme val="minor"/>
    </font>
    <font>
      <b/>
      <sz val="10"/>
      <color theme="0"/>
      <name val="Calibri"/>
      <family val="2"/>
      <scheme val="minor"/>
    </font>
    <font>
      <b/>
      <sz val="10"/>
      <color theme="1"/>
      <name val="Calibri"/>
      <family val="2"/>
      <scheme val="minor"/>
    </font>
    <font>
      <i/>
      <sz val="10"/>
      <color theme="1"/>
      <name val="Calibri"/>
      <family val="2"/>
      <scheme val="minor"/>
    </font>
    <font>
      <b/>
      <sz val="14"/>
      <color theme="1"/>
      <name val="Calibri"/>
      <family val="2"/>
      <scheme val="minor"/>
    </font>
    <font>
      <b/>
      <sz val="8"/>
      <color theme="1"/>
      <name val="Calibri"/>
      <family val="2"/>
      <scheme val="minor"/>
    </font>
    <font>
      <b/>
      <sz val="10"/>
      <color rgb="FFC00000"/>
      <name val="Calibri"/>
      <family val="2"/>
      <scheme val="minor"/>
    </font>
    <font>
      <u/>
      <sz val="12"/>
      <color theme="10"/>
      <name val="Calibri"/>
      <family val="2"/>
      <scheme val="minor"/>
    </font>
    <font>
      <b/>
      <sz val="10"/>
      <color rgb="FF3F3F3F"/>
      <name val="Calibri"/>
      <family val="2"/>
      <scheme val="minor"/>
    </font>
    <font>
      <sz val="11"/>
      <color rgb="FF006100"/>
      <name val="Calibri"/>
      <family val="2"/>
      <scheme val="minor"/>
    </font>
    <font>
      <b/>
      <sz val="11"/>
      <color rgb="FFFFFFFF"/>
      <name val="Calibri"/>
      <family val="2"/>
    </font>
    <font>
      <b/>
      <sz val="11"/>
      <color rgb="FF000000"/>
      <name val="Calibri"/>
      <family val="2"/>
    </font>
    <font>
      <sz val="11"/>
      <color rgb="FF000000"/>
      <name val="Calibri"/>
      <family val="2"/>
    </font>
    <font>
      <sz val="9"/>
      <color indexed="81"/>
      <name val="Tahoma"/>
      <family val="2"/>
    </font>
    <font>
      <b/>
      <sz val="9"/>
      <color indexed="81"/>
      <name val="Tahoma"/>
      <family val="2"/>
    </font>
    <font>
      <b/>
      <sz val="11"/>
      <color theme="1"/>
      <name val="Calibri"/>
      <family val="2"/>
      <scheme val="minor"/>
    </font>
    <font>
      <sz val="11"/>
      <name val="Calibri"/>
      <family val="2"/>
      <scheme val="minor"/>
    </font>
    <font>
      <b/>
      <i/>
      <sz val="14"/>
      <color theme="1"/>
      <name val="Calibri"/>
      <family val="2"/>
      <scheme val="minor"/>
    </font>
    <font>
      <i/>
      <sz val="11"/>
      <color theme="1"/>
      <name val="Calibri"/>
      <family val="2"/>
      <scheme val="minor"/>
    </font>
    <font>
      <b/>
      <i/>
      <sz val="11"/>
      <color rgb="FFFF0000"/>
      <name val="Calibri"/>
      <family val="2"/>
      <scheme val="minor"/>
    </font>
    <font>
      <sz val="12"/>
      <name val="Calibri"/>
      <family val="2"/>
      <scheme val="minor"/>
    </font>
    <font>
      <u/>
      <sz val="11"/>
      <color theme="1"/>
      <name val="Calibri"/>
      <family val="2"/>
      <scheme val="minor"/>
    </font>
    <font>
      <u/>
      <sz val="12"/>
      <color theme="11"/>
      <name val="Calibri"/>
      <family val="2"/>
      <scheme val="minor"/>
    </font>
    <font>
      <i/>
      <sz val="11"/>
      <color rgb="FF7F7F7F"/>
      <name val="Calibri"/>
      <family val="2"/>
      <scheme val="minor"/>
    </font>
    <font>
      <sz val="10"/>
      <color theme="0"/>
      <name val="Calibri"/>
      <family val="2"/>
      <scheme val="minor"/>
    </font>
    <font>
      <b/>
      <sz val="11"/>
      <color rgb="FFFA7D00"/>
      <name val="Calibri"/>
      <family val="2"/>
      <scheme val="minor"/>
    </font>
    <font>
      <b/>
      <sz val="11"/>
      <color theme="0"/>
      <name val="Calibri"/>
      <family val="2"/>
      <scheme val="minor"/>
    </font>
    <font>
      <b/>
      <i/>
      <sz val="11"/>
      <name val="Calibri"/>
      <family val="2"/>
      <scheme val="minor"/>
    </font>
    <font>
      <sz val="11"/>
      <color theme="0"/>
      <name val="Calibri"/>
      <family val="2"/>
      <scheme val="minor"/>
    </font>
    <font>
      <b/>
      <sz val="10"/>
      <name val="Calibri"/>
      <family val="2"/>
      <scheme val="minor"/>
    </font>
    <font>
      <sz val="11"/>
      <color rgb="FFFF0000"/>
      <name val="Calibri"/>
      <family val="2"/>
    </font>
    <font>
      <sz val="10"/>
      <name val="Calibri"/>
      <family val="2"/>
      <scheme val="minor"/>
    </font>
    <font>
      <sz val="11"/>
      <color rgb="FF3F3F3F"/>
      <name val="Calibri"/>
      <family val="2"/>
      <scheme val="minor"/>
    </font>
    <font>
      <b/>
      <sz val="11"/>
      <color rgb="FF3F3F76"/>
      <name val="Calibri"/>
      <family val="2"/>
      <scheme val="minor"/>
    </font>
    <font>
      <sz val="11"/>
      <color rgb="FF000000"/>
      <name val="Calibri"/>
      <family val="2"/>
      <scheme val="minor"/>
    </font>
    <font>
      <b/>
      <sz val="20"/>
      <color theme="1"/>
      <name val="Calibri"/>
      <family val="2"/>
      <scheme val="minor"/>
    </font>
    <font>
      <sz val="20"/>
      <color theme="1"/>
      <name val="Calibri"/>
      <family val="2"/>
      <scheme val="minor"/>
    </font>
    <font>
      <b/>
      <sz val="20"/>
      <color theme="0"/>
      <name val="Calibri"/>
      <family val="2"/>
      <scheme val="minor"/>
    </font>
    <font>
      <b/>
      <i/>
      <sz val="12"/>
      <color rgb="FF00B0F0"/>
      <name val="Montserrat"/>
    </font>
    <font>
      <i/>
      <sz val="12"/>
      <color rgb="FFFF0000"/>
      <name val="Calibri"/>
      <family val="2"/>
      <scheme val="minor"/>
    </font>
    <font>
      <b/>
      <i/>
      <sz val="14"/>
      <color rgb="FF00B0F0"/>
      <name val="Montserrat"/>
    </font>
    <font>
      <i/>
      <sz val="14"/>
      <color rgb="FF00B0F0"/>
      <name val="Montserrat"/>
    </font>
    <font>
      <b/>
      <sz val="11"/>
      <name val="Calibri"/>
      <family val="2"/>
      <scheme val="minor"/>
    </font>
    <font>
      <b/>
      <sz val="11"/>
      <name val="Calibri"/>
      <family val="2"/>
    </font>
    <font>
      <sz val="11"/>
      <name val="Calibri"/>
      <family val="2"/>
    </font>
    <font>
      <sz val="12"/>
      <color theme="0"/>
      <name val="Calibri"/>
      <family val="2"/>
      <scheme val="minor"/>
    </font>
    <font>
      <b/>
      <sz val="20"/>
      <color rgb="FF00B0F0"/>
      <name val="Calibri"/>
      <family val="2"/>
      <scheme val="minor"/>
    </font>
    <font>
      <sz val="20"/>
      <color rgb="FF00B0F0"/>
      <name val="Calibri"/>
      <family val="2"/>
      <scheme val="minor"/>
    </font>
    <font>
      <b/>
      <sz val="14"/>
      <color theme="0"/>
      <name val="Calibri"/>
      <family val="2"/>
      <scheme val="minor"/>
    </font>
    <font>
      <b/>
      <sz val="8"/>
      <color rgb="FFFFFFFF"/>
      <name val="Calibri"/>
      <family val="2"/>
    </font>
    <font>
      <sz val="8"/>
      <color rgb="FF000000"/>
      <name val="Calibri"/>
      <family val="2"/>
    </font>
    <font>
      <i/>
      <sz val="8"/>
      <name val="Calibri"/>
      <family val="2"/>
    </font>
    <font>
      <b/>
      <i/>
      <sz val="8"/>
      <name val="Calibri"/>
      <family val="2"/>
    </font>
    <font>
      <b/>
      <sz val="8"/>
      <name val="Calibri"/>
      <family val="2"/>
    </font>
    <font>
      <sz val="8"/>
      <name val="Calibri"/>
      <family val="2"/>
      <scheme val="minor"/>
    </font>
    <font>
      <i/>
      <sz val="9"/>
      <color rgb="FFFF0000"/>
      <name val="Calibri"/>
      <family val="2"/>
      <scheme val="minor"/>
    </font>
  </fonts>
  <fills count="24">
    <fill>
      <patternFill patternType="none"/>
    </fill>
    <fill>
      <patternFill patternType="gray125"/>
    </fill>
    <fill>
      <patternFill patternType="solid">
        <fgColor rgb="FFFFCC99"/>
      </patternFill>
    </fill>
    <fill>
      <patternFill patternType="solid">
        <fgColor rgb="FFF2F2F2"/>
      </patternFill>
    </fill>
    <fill>
      <patternFill patternType="solid">
        <fgColor theme="9"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4472C4"/>
        <bgColor indexed="64"/>
      </patternFill>
    </fill>
    <fill>
      <patternFill patternType="solid">
        <fgColor theme="7"/>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CC99"/>
        <bgColor rgb="FF000000"/>
      </patternFill>
    </fill>
    <fill>
      <patternFill patternType="solid">
        <fgColor rgb="FF002060"/>
        <bgColor indexed="64"/>
      </patternFill>
    </fill>
    <fill>
      <patternFill patternType="solid">
        <fgColor theme="0"/>
        <bgColor indexed="64"/>
      </patternFill>
    </fill>
    <fill>
      <patternFill patternType="solid">
        <fgColor rgb="FF00B0F0"/>
        <bgColor indexed="64"/>
      </patternFill>
    </fill>
    <fill>
      <patternFill patternType="solid">
        <fgColor theme="4"/>
        <bgColor theme="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B3B3"/>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n">
        <color auto="1"/>
      </bottom>
      <diagonal/>
    </border>
    <border>
      <left style="medium">
        <color rgb="FF8EA9DB"/>
      </left>
      <right/>
      <top style="medium">
        <color rgb="FF8EA9DB"/>
      </top>
      <bottom/>
      <diagonal/>
    </border>
    <border>
      <left/>
      <right/>
      <top style="medium">
        <color rgb="FF8EA9DB"/>
      </top>
      <bottom/>
      <diagonal/>
    </border>
    <border>
      <left/>
      <right style="medium">
        <color rgb="FF8EA9DB"/>
      </right>
      <top style="medium">
        <color rgb="FF8EA9DB"/>
      </top>
      <bottom/>
      <diagonal/>
    </border>
    <border>
      <left style="medium">
        <color rgb="FF8EA9DB"/>
      </left>
      <right/>
      <top style="medium">
        <color rgb="FF8EA9DB"/>
      </top>
      <bottom style="medium">
        <color rgb="FF8EA9DB"/>
      </bottom>
      <diagonal/>
    </border>
    <border>
      <left/>
      <right/>
      <top style="medium">
        <color rgb="FF8EA9DB"/>
      </top>
      <bottom style="medium">
        <color rgb="FF8EA9DB"/>
      </bottom>
      <diagonal/>
    </border>
    <border>
      <left/>
      <right style="medium">
        <color rgb="FF8EA9DB"/>
      </right>
      <top style="medium">
        <color rgb="FF8EA9DB"/>
      </top>
      <bottom style="medium">
        <color rgb="FF8EA9DB"/>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medium">
        <color auto="1"/>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theme="4" tint="0.39997558519241921"/>
      </top>
      <bottom style="thin">
        <color theme="4" tint="0.39997558519241921"/>
      </bottom>
      <diagonal/>
    </border>
    <border>
      <left style="thin">
        <color theme="4" tint="0.39997558519241921"/>
      </left>
      <right/>
      <top/>
      <bottom/>
      <diagonal/>
    </border>
    <border>
      <left style="thin">
        <color theme="4" tint="0.39997558519241921"/>
      </left>
      <right/>
      <top/>
      <bottom style="thin">
        <color theme="4" tint="0.39997558519241921"/>
      </bottom>
      <diagonal/>
    </border>
  </borders>
  <cellStyleXfs count="56">
    <xf numFmtId="0" fontId="0" fillId="0" borderId="0"/>
    <xf numFmtId="165"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11" fillId="2" borderId="1" applyNumberFormat="0" applyAlignment="0" applyProtection="0"/>
    <xf numFmtId="0" fontId="12" fillId="3" borderId="2" applyNumberFormat="0" applyAlignment="0" applyProtection="0"/>
    <xf numFmtId="165" fontId="13" fillId="0" borderId="0" applyFont="0" applyFill="0" applyBorder="0" applyAlignment="0" applyProtection="0"/>
    <xf numFmtId="0" fontId="23" fillId="0" borderId="0" applyNumberFormat="0" applyFill="0" applyBorder="0" applyAlignment="0" applyProtection="0"/>
    <xf numFmtId="0" fontId="25" fillId="8" borderId="0" applyNumberFormat="0" applyBorder="0" applyAlignment="0" applyProtection="0"/>
    <xf numFmtId="0" fontId="10" fillId="0" borderId="0"/>
    <xf numFmtId="9" fontId="10"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9" fillId="0" borderId="0"/>
    <xf numFmtId="9" fontId="9" fillId="0" borderId="0" applyFon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1" fillId="3" borderId="1" applyNumberFormat="0" applyAlignment="0" applyProtection="0"/>
    <xf numFmtId="0" fontId="8" fillId="0" borderId="0"/>
    <xf numFmtId="44" fontId="8" fillId="0" borderId="0" applyFont="0" applyFill="0" applyBorder="0" applyAlignment="0" applyProtection="0"/>
    <xf numFmtId="0" fontId="8"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cellStyleXfs>
  <cellXfs count="376">
    <xf numFmtId="0" fontId="0" fillId="0" borderId="0" xfId="0"/>
    <xf numFmtId="0" fontId="14" fillId="0" borderId="0" xfId="0" applyFont="1"/>
    <xf numFmtId="0" fontId="14" fillId="0" borderId="0" xfId="0" applyFont="1" applyAlignment="1">
      <alignment horizontal="center"/>
    </xf>
    <xf numFmtId="0" fontId="17" fillId="4" borderId="0" xfId="0" applyFont="1" applyFill="1" applyAlignment="1">
      <alignment horizontal="center"/>
    </xf>
    <xf numFmtId="0" fontId="18" fillId="0" borderId="0" xfId="0" applyFont="1"/>
    <xf numFmtId="169" fontId="14" fillId="0" borderId="0" xfId="2" applyNumberFormat="1" applyFont="1"/>
    <xf numFmtId="0" fontId="19" fillId="0" borderId="0" xfId="0" applyFont="1"/>
    <xf numFmtId="166" fontId="18" fillId="0" borderId="0" xfId="0" applyNumberFormat="1" applyFont="1"/>
    <xf numFmtId="166" fontId="14" fillId="0" borderId="0" xfId="0" applyNumberFormat="1" applyFont="1"/>
    <xf numFmtId="0" fontId="21" fillId="0" borderId="0" xfId="0" applyFont="1" applyAlignment="1">
      <alignment horizontal="center"/>
    </xf>
    <xf numFmtId="166" fontId="14" fillId="0" borderId="0" xfId="1" applyNumberFormat="1" applyFont="1"/>
    <xf numFmtId="9" fontId="18" fillId="0" borderId="0" xfId="3" applyFont="1"/>
    <xf numFmtId="9" fontId="15" fillId="3" borderId="2" xfId="3" applyFont="1" applyFill="1" applyBorder="1"/>
    <xf numFmtId="168" fontId="14" fillId="0" borderId="0" xfId="0" applyNumberFormat="1" applyFont="1" applyAlignment="1">
      <alignment horizontal="center"/>
    </xf>
    <xf numFmtId="169" fontId="14" fillId="0" borderId="0" xfId="0" applyNumberFormat="1" applyFont="1"/>
    <xf numFmtId="169" fontId="18" fillId="0" borderId="0" xfId="2" applyNumberFormat="1" applyFont="1"/>
    <xf numFmtId="14" fontId="14" fillId="0" borderId="0" xfId="0" applyNumberFormat="1" applyFont="1" applyAlignment="1">
      <alignment horizontal="center"/>
    </xf>
    <xf numFmtId="168" fontId="14" fillId="0" borderId="3" xfId="0" applyNumberFormat="1" applyFont="1" applyBorder="1" applyAlignment="1">
      <alignment horizontal="center"/>
    </xf>
    <xf numFmtId="169" fontId="14" fillId="0" borderId="3" xfId="0" applyNumberFormat="1" applyFont="1" applyBorder="1"/>
    <xf numFmtId="169" fontId="18" fillId="0" borderId="3" xfId="2" applyNumberFormat="1" applyFont="1" applyBorder="1"/>
    <xf numFmtId="169" fontId="14" fillId="0" borderId="3" xfId="2" applyNumberFormat="1" applyFont="1" applyBorder="1"/>
    <xf numFmtId="0" fontId="14" fillId="0" borderId="3" xfId="0" applyFont="1" applyBorder="1"/>
    <xf numFmtId="0" fontId="14" fillId="0" borderId="3" xfId="0" applyFont="1" applyBorder="1" applyAlignment="1">
      <alignment horizontal="center"/>
    </xf>
    <xf numFmtId="14" fontId="16" fillId="2" borderId="1" xfId="4" applyNumberFormat="1" applyFont="1" applyAlignment="1">
      <alignment horizontal="center"/>
    </xf>
    <xf numFmtId="166" fontId="14" fillId="0" borderId="3" xfId="6" applyNumberFormat="1" applyFont="1" applyBorder="1"/>
    <xf numFmtId="0" fontId="22" fillId="0" borderId="0" xfId="0" applyFont="1"/>
    <xf numFmtId="169" fontId="15" fillId="0" borderId="0" xfId="2" applyNumberFormat="1" applyFont="1" applyFill="1" applyBorder="1" applyAlignment="1">
      <alignment horizontal="left" indent="2"/>
    </xf>
    <xf numFmtId="0" fontId="14" fillId="0" borderId="0" xfId="0" applyFont="1" applyAlignment="1">
      <alignment horizontal="left" indent="2"/>
    </xf>
    <xf numFmtId="167" fontId="16" fillId="2" borderId="1" xfId="3" applyNumberFormat="1" applyFont="1" applyFill="1" applyBorder="1" applyAlignment="1">
      <alignment horizontal="center"/>
    </xf>
    <xf numFmtId="170" fontId="14" fillId="0" borderId="0" xfId="1" applyNumberFormat="1" applyFont="1"/>
    <xf numFmtId="167" fontId="14" fillId="0" borderId="0" xfId="3" applyNumberFormat="1" applyFont="1"/>
    <xf numFmtId="9" fontId="14" fillId="0" borderId="0" xfId="3" applyFont="1"/>
    <xf numFmtId="9" fontId="15" fillId="3" borderId="2" xfId="3" applyNumberFormat="1" applyFont="1" applyFill="1" applyBorder="1"/>
    <xf numFmtId="0" fontId="26" fillId="9" borderId="4" xfId="0" applyFont="1" applyFill="1" applyBorder="1" applyAlignment="1">
      <alignment horizontal="center" vertical="center"/>
    </xf>
    <xf numFmtId="0" fontId="26" fillId="9" borderId="5" xfId="0" applyFont="1" applyFill="1" applyBorder="1" applyAlignment="1">
      <alignment horizontal="center" vertical="center" wrapText="1"/>
    </xf>
    <xf numFmtId="0" fontId="26" fillId="9" borderId="6" xfId="0" applyFont="1" applyFill="1" applyBorder="1" applyAlignment="1">
      <alignment horizontal="center" vertical="center" wrapText="1"/>
    </xf>
    <xf numFmtId="166" fontId="18" fillId="0" borderId="10" xfId="0" applyNumberFormat="1" applyFont="1" applyBorder="1"/>
    <xf numFmtId="0" fontId="10" fillId="0" borderId="0" xfId="9"/>
    <xf numFmtId="0" fontId="31" fillId="0" borderId="3" xfId="9" applyFont="1" applyBorder="1" applyAlignment="1">
      <alignment wrapText="1"/>
    </xf>
    <xf numFmtId="0" fontId="31" fillId="11" borderId="13" xfId="9" applyFont="1" applyFill="1" applyBorder="1" applyAlignment="1">
      <alignment horizontal="center" vertical="center" wrapText="1"/>
    </xf>
    <xf numFmtId="0" fontId="10" fillId="0" borderId="0" xfId="9" applyAlignment="1">
      <alignment wrapText="1"/>
    </xf>
    <xf numFmtId="0" fontId="31" fillId="0" borderId="14" xfId="9" applyFont="1" applyBorder="1"/>
    <xf numFmtId="173" fontId="31" fillId="0" borderId="14" xfId="9" applyNumberFormat="1" applyFont="1" applyBorder="1" applyAlignment="1">
      <alignment horizontal="center" vertical="center"/>
    </xf>
    <xf numFmtId="2" fontId="31" fillId="0" borderId="14" xfId="9" applyNumberFormat="1" applyFont="1" applyBorder="1" applyAlignment="1">
      <alignment horizontal="center" vertical="center"/>
    </xf>
    <xf numFmtId="174" fontId="32" fillId="0" borderId="0" xfId="9" applyNumberFormat="1" applyFont="1"/>
    <xf numFmtId="9" fontId="11" fillId="2" borderId="1" xfId="4" applyNumberFormat="1" applyAlignment="1">
      <alignment horizontal="center" vertical="center"/>
    </xf>
    <xf numFmtId="2" fontId="32" fillId="0" borderId="0" xfId="9" applyNumberFormat="1" applyFont="1" applyAlignment="1">
      <alignment horizontal="center" vertical="center"/>
    </xf>
    <xf numFmtId="0" fontId="32" fillId="0" borderId="0" xfId="9" applyFont="1"/>
    <xf numFmtId="2" fontId="10" fillId="0" borderId="0" xfId="9" applyNumberFormat="1"/>
    <xf numFmtId="0" fontId="20" fillId="10" borderId="0" xfId="9" applyFont="1" applyFill="1"/>
    <xf numFmtId="0" fontId="20" fillId="12" borderId="0" xfId="9" applyFont="1" applyFill="1"/>
    <xf numFmtId="166" fontId="14" fillId="0" borderId="3" xfId="0" applyNumberFormat="1" applyFont="1" applyBorder="1"/>
    <xf numFmtId="0" fontId="20" fillId="0" borderId="0" xfId="14" applyFont="1"/>
    <xf numFmtId="0" fontId="32" fillId="0" borderId="0" xfId="14" applyFont="1"/>
    <xf numFmtId="0" fontId="9" fillId="0" borderId="0" xfId="14"/>
    <xf numFmtId="0" fontId="34" fillId="0" borderId="0" xfId="14" applyFont="1" applyAlignment="1">
      <alignment vertical="top" wrapText="1"/>
    </xf>
    <xf numFmtId="0" fontId="35" fillId="0" borderId="0" xfId="14" applyFont="1" applyAlignment="1">
      <alignment vertical="top"/>
    </xf>
    <xf numFmtId="0" fontId="34" fillId="0" borderId="0" xfId="14" applyFont="1" applyAlignment="1">
      <alignment vertical="top"/>
    </xf>
    <xf numFmtId="0" fontId="31" fillId="0" borderId="3" xfId="14" applyFont="1" applyFill="1" applyBorder="1"/>
    <xf numFmtId="0" fontId="32" fillId="0" borderId="3" xfId="14" applyFont="1" applyBorder="1"/>
    <xf numFmtId="0" fontId="9" fillId="0" borderId="3" xfId="14" applyFill="1" applyBorder="1"/>
    <xf numFmtId="2" fontId="9" fillId="0" borderId="3" xfId="14" applyNumberFormat="1" applyBorder="1"/>
    <xf numFmtId="0" fontId="9" fillId="0" borderId="3" xfId="14" applyBorder="1"/>
    <xf numFmtId="0" fontId="9" fillId="0" borderId="0" xfId="14" applyFill="1" applyBorder="1"/>
    <xf numFmtId="0" fontId="9" fillId="0" borderId="0" xfId="14" applyBorder="1"/>
    <xf numFmtId="0" fontId="31" fillId="0" borderId="3" xfId="14" applyFont="1" applyBorder="1"/>
    <xf numFmtId="168" fontId="9" fillId="0" borderId="0" xfId="14" applyNumberFormat="1"/>
    <xf numFmtId="2" fontId="9" fillId="0" borderId="0" xfId="14" applyNumberFormat="1" applyBorder="1"/>
    <xf numFmtId="0" fontId="32" fillId="0" borderId="0" xfId="14" applyFont="1" applyBorder="1"/>
    <xf numFmtId="2" fontId="9" fillId="0" borderId="10" xfId="14" applyNumberFormat="1" applyBorder="1"/>
    <xf numFmtId="0" fontId="32" fillId="0" borderId="0" xfId="14" applyFont="1" applyFill="1" applyBorder="1"/>
    <xf numFmtId="0" fontId="32" fillId="0" borderId="10" xfId="14" applyFont="1" applyBorder="1"/>
    <xf numFmtId="168" fontId="32" fillId="0" borderId="0" xfId="14" applyNumberFormat="1" applyFont="1" applyFill="1" applyBorder="1"/>
    <xf numFmtId="0" fontId="37" fillId="0" borderId="0" xfId="14" applyFont="1"/>
    <xf numFmtId="9" fontId="0" fillId="0" borderId="0" xfId="15" applyFont="1"/>
    <xf numFmtId="0" fontId="32" fillId="13" borderId="10" xfId="14" applyFont="1" applyFill="1" applyBorder="1" applyAlignment="1">
      <alignment vertical="center"/>
    </xf>
    <xf numFmtId="0" fontId="32" fillId="0" borderId="0" xfId="14" applyFont="1" applyAlignment="1">
      <alignment vertical="center"/>
    </xf>
    <xf numFmtId="0" fontId="9" fillId="0" borderId="0" xfId="14" applyAlignment="1">
      <alignment vertical="center"/>
    </xf>
    <xf numFmtId="0" fontId="32" fillId="0" borderId="3" xfId="14" applyFont="1" applyFill="1" applyBorder="1"/>
    <xf numFmtId="2" fontId="32" fillId="0" borderId="3" xfId="14" applyNumberFormat="1" applyFont="1" applyFill="1" applyBorder="1"/>
    <xf numFmtId="0" fontId="36" fillId="13" borderId="14" xfId="14" applyFont="1" applyFill="1" applyBorder="1" applyAlignment="1">
      <alignment horizontal="center" vertical="center" textRotation="90"/>
    </xf>
    <xf numFmtId="1" fontId="32" fillId="13" borderId="10" xfId="14" applyNumberFormat="1" applyFont="1" applyFill="1" applyBorder="1" applyAlignment="1">
      <alignment horizontal="center" vertical="center"/>
    </xf>
    <xf numFmtId="0" fontId="31" fillId="0" borderId="0" xfId="14" applyFont="1" applyFill="1" applyBorder="1"/>
    <xf numFmtId="0" fontId="32" fillId="13" borderId="14" xfId="14" applyFont="1" applyFill="1" applyBorder="1" applyAlignment="1">
      <alignment vertical="center"/>
    </xf>
    <xf numFmtId="1" fontId="32" fillId="13" borderId="14" xfId="14" applyNumberFormat="1" applyFont="1" applyFill="1" applyBorder="1" applyAlignment="1">
      <alignment horizontal="center" vertical="center"/>
    </xf>
    <xf numFmtId="2" fontId="32" fillId="0" borderId="0" xfId="14" applyNumberFormat="1" applyFont="1"/>
    <xf numFmtId="0" fontId="10" fillId="0" borderId="15" xfId="9" applyBorder="1"/>
    <xf numFmtId="9" fontId="10" fillId="0" borderId="15" xfId="9" applyNumberFormat="1" applyBorder="1"/>
    <xf numFmtId="2" fontId="32" fillId="0" borderId="15" xfId="9" applyNumberFormat="1" applyFont="1" applyBorder="1" applyAlignment="1">
      <alignment horizontal="center" vertical="center"/>
    </xf>
    <xf numFmtId="166" fontId="18" fillId="0" borderId="0" xfId="0" applyNumberFormat="1" applyFont="1" applyFill="1"/>
    <xf numFmtId="0" fontId="14" fillId="0" borderId="0" xfId="0" applyFont="1" applyFill="1"/>
    <xf numFmtId="0" fontId="14" fillId="0" borderId="0" xfId="0" applyFont="1" applyAlignment="1">
      <alignment horizontal="center"/>
    </xf>
    <xf numFmtId="171" fontId="14" fillId="0" borderId="0" xfId="0" applyNumberFormat="1" applyFont="1"/>
    <xf numFmtId="171" fontId="18" fillId="0" borderId="0" xfId="0" applyNumberFormat="1" applyFont="1"/>
    <xf numFmtId="171" fontId="14" fillId="0" borderId="3" xfId="0" applyNumberFormat="1" applyFont="1" applyBorder="1"/>
    <xf numFmtId="0" fontId="40" fillId="6" borderId="0" xfId="0" applyFont="1" applyFill="1" applyAlignment="1">
      <alignment horizontal="center"/>
    </xf>
    <xf numFmtId="0" fontId="22" fillId="0" borderId="0" xfId="0" applyFont="1" applyFill="1"/>
    <xf numFmtId="0" fontId="40" fillId="7" borderId="0" xfId="0" applyFont="1" applyFill="1" applyAlignment="1">
      <alignment horizontal="center"/>
    </xf>
    <xf numFmtId="0" fontId="41" fillId="3" borderId="1" xfId="18"/>
    <xf numFmtId="0" fontId="18" fillId="0" borderId="0" xfId="7" applyFont="1"/>
    <xf numFmtId="3" fontId="9" fillId="13" borderId="0" xfId="14" applyNumberFormat="1" applyFill="1" applyBorder="1"/>
    <xf numFmtId="0" fontId="9" fillId="13" borderId="3" xfId="14" applyFill="1" applyBorder="1"/>
    <xf numFmtId="1" fontId="9" fillId="13" borderId="3" xfId="14" applyNumberFormat="1" applyFill="1" applyBorder="1"/>
    <xf numFmtId="2" fontId="32" fillId="0" borderId="0" xfId="9" applyNumberFormat="1" applyFont="1" applyAlignment="1">
      <alignment horizontal="center"/>
    </xf>
    <xf numFmtId="2" fontId="32" fillId="0" borderId="0" xfId="9" applyNumberFormat="1" applyFont="1" applyBorder="1" applyAlignment="1">
      <alignment horizontal="center"/>
    </xf>
    <xf numFmtId="0" fontId="8" fillId="0" borderId="0" xfId="19"/>
    <xf numFmtId="0" fontId="8" fillId="0" borderId="0" xfId="19" applyBorder="1"/>
    <xf numFmtId="0" fontId="39" fillId="0" borderId="0" xfId="17" applyBorder="1" applyAlignment="1">
      <alignment horizontal="left" vertical="center" indent="1"/>
    </xf>
    <xf numFmtId="3" fontId="8" fillId="0" borderId="0" xfId="19" applyNumberFormat="1" applyBorder="1" applyAlignment="1">
      <alignment horizontal="center" vertical="center"/>
    </xf>
    <xf numFmtId="9" fontId="8" fillId="0" borderId="0" xfId="19" applyNumberFormat="1" applyBorder="1" applyAlignment="1">
      <alignment horizontal="center" vertical="center"/>
    </xf>
    <xf numFmtId="0" fontId="14" fillId="0" borderId="0" xfId="0" applyFont="1" applyAlignment="1">
      <alignment wrapText="1"/>
    </xf>
    <xf numFmtId="0" fontId="43" fillId="0" borderId="0" xfId="8" applyFont="1" applyFill="1" applyBorder="1" applyAlignment="1">
      <alignment horizontal="center" vertical="center"/>
    </xf>
    <xf numFmtId="0" fontId="10" fillId="0" borderId="0" xfId="9" applyAlignment="1">
      <alignment horizontal="center" vertical="center"/>
    </xf>
    <xf numFmtId="0" fontId="32" fillId="0" borderId="0" xfId="9" applyFont="1" applyAlignment="1">
      <alignment horizontal="center" vertical="center"/>
    </xf>
    <xf numFmtId="9" fontId="32" fillId="0" borderId="0" xfId="3" applyFont="1" applyAlignment="1">
      <alignment horizontal="center" vertical="center"/>
    </xf>
    <xf numFmtId="171" fontId="32" fillId="0" borderId="0" xfId="9" applyNumberFormat="1" applyFont="1" applyAlignment="1">
      <alignment horizontal="center" vertical="center"/>
    </xf>
    <xf numFmtId="0" fontId="33" fillId="0" borderId="0" xfId="9" applyFont="1" applyFill="1"/>
    <xf numFmtId="0" fontId="20" fillId="0" borderId="0" xfId="9" applyFont="1" applyFill="1"/>
    <xf numFmtId="0" fontId="31" fillId="0" borderId="3" xfId="9" applyFont="1" applyFill="1" applyBorder="1" applyAlignment="1">
      <alignment wrapText="1"/>
    </xf>
    <xf numFmtId="0" fontId="31" fillId="0" borderId="14" xfId="9" applyFont="1" applyFill="1" applyBorder="1"/>
    <xf numFmtId="174" fontId="32" fillId="0" borderId="0" xfId="9" applyNumberFormat="1" applyFont="1" applyFill="1"/>
    <xf numFmtId="0" fontId="10" fillId="0" borderId="0" xfId="9" applyFill="1"/>
    <xf numFmtId="0" fontId="10" fillId="0" borderId="15" xfId="9" applyFill="1" applyBorder="1"/>
    <xf numFmtId="1" fontId="10" fillId="0" borderId="0" xfId="9" applyNumberFormat="1" applyAlignment="1">
      <alignment horizontal="center" wrapText="1"/>
    </xf>
    <xf numFmtId="1" fontId="10" fillId="0" borderId="0" xfId="9" applyNumberFormat="1" applyAlignment="1">
      <alignment horizontal="center"/>
    </xf>
    <xf numFmtId="1" fontId="32" fillId="0" borderId="0" xfId="9" applyNumberFormat="1" applyFont="1" applyAlignment="1">
      <alignment horizontal="center"/>
    </xf>
    <xf numFmtId="0" fontId="32" fillId="0" borderId="0" xfId="9" applyNumberFormat="1" applyFont="1" applyFill="1" applyAlignment="1">
      <alignment horizontal="center"/>
    </xf>
    <xf numFmtId="9" fontId="32" fillId="0" borderId="0" xfId="3" applyFont="1" applyFill="1" applyAlignment="1">
      <alignment horizontal="center"/>
    </xf>
    <xf numFmtId="0" fontId="31" fillId="0" borderId="3" xfId="9" applyFont="1" applyBorder="1" applyAlignment="1">
      <alignment vertical="center" wrapText="1"/>
    </xf>
    <xf numFmtId="0" fontId="31" fillId="14" borderId="13" xfId="9" applyFont="1" applyFill="1" applyBorder="1" applyAlignment="1">
      <alignment horizontal="center" vertical="center" wrapText="1"/>
    </xf>
    <xf numFmtId="0" fontId="31" fillId="14" borderId="3" xfId="9" applyFont="1" applyFill="1" applyBorder="1" applyAlignment="1">
      <alignment horizontal="center" vertical="center" wrapText="1"/>
    </xf>
    <xf numFmtId="0" fontId="31" fillId="14" borderId="3" xfId="9" applyFont="1" applyFill="1" applyBorder="1" applyAlignment="1">
      <alignment wrapText="1"/>
    </xf>
    <xf numFmtId="0" fontId="31" fillId="14" borderId="11" xfId="9" applyFont="1" applyFill="1" applyBorder="1" applyAlignment="1">
      <alignment horizontal="center" vertical="center" wrapText="1"/>
    </xf>
    <xf numFmtId="1" fontId="32" fillId="0" borderId="0" xfId="9" applyNumberFormat="1" applyFont="1" applyFill="1" applyAlignment="1">
      <alignment horizontal="center"/>
    </xf>
    <xf numFmtId="174" fontId="32" fillId="0" borderId="0" xfId="9" applyNumberFormat="1" applyFont="1" applyAlignment="1">
      <alignment horizontal="left"/>
    </xf>
    <xf numFmtId="172" fontId="14" fillId="0" borderId="0" xfId="0" applyNumberFormat="1" applyFont="1" applyAlignment="1">
      <alignment horizontal="center" vertical="center"/>
    </xf>
    <xf numFmtId="0" fontId="44" fillId="0" borderId="0" xfId="9" applyFont="1" applyAlignment="1">
      <alignment horizontal="center" vertical="center" wrapText="1"/>
    </xf>
    <xf numFmtId="171" fontId="24" fillId="3" borderId="2" xfId="5" applyNumberFormat="1" applyFont="1" applyAlignment="1">
      <alignment horizontal="center" vertical="center"/>
    </xf>
    <xf numFmtId="171" fontId="16" fillId="2" borderId="1" xfId="4" applyNumberFormat="1" applyFont="1" applyAlignment="1">
      <alignment horizontal="center" vertical="center"/>
    </xf>
    <xf numFmtId="0" fontId="45" fillId="0" borderId="0" xfId="19" applyFont="1" applyFill="1" applyBorder="1" applyAlignment="1">
      <alignment horizontal="center" vertical="center"/>
    </xf>
    <xf numFmtId="0" fontId="45" fillId="0" borderId="0" xfId="19" applyFont="1" applyFill="1" applyBorder="1" applyAlignment="1">
      <alignment horizontal="center" vertical="center" wrapText="1"/>
    </xf>
    <xf numFmtId="1" fontId="16" fillId="2" borderId="1" xfId="4" applyNumberFormat="1" applyFont="1" applyAlignment="1">
      <alignment horizontal="center" vertical="center"/>
    </xf>
    <xf numFmtId="0" fontId="16" fillId="2" borderId="1" xfId="4" applyFont="1" applyAlignment="1">
      <alignment horizontal="center" vertical="center"/>
    </xf>
    <xf numFmtId="168" fontId="24" fillId="3" borderId="2" xfId="5" applyNumberFormat="1" applyFont="1" applyAlignment="1">
      <alignment horizontal="center" vertical="center"/>
    </xf>
    <xf numFmtId="0" fontId="33" fillId="0" borderId="0" xfId="9" applyFont="1" applyAlignment="1">
      <alignment horizontal="center" vertical="center"/>
    </xf>
    <xf numFmtId="168" fontId="12" fillId="3" borderId="2" xfId="5" applyNumberFormat="1" applyAlignment="1">
      <alignment horizontal="center" vertical="center"/>
    </xf>
    <xf numFmtId="20" fontId="32" fillId="0" borderId="0" xfId="9" applyNumberFormat="1" applyFont="1" applyAlignment="1">
      <alignment horizontal="left"/>
    </xf>
    <xf numFmtId="0" fontId="7" fillId="0" borderId="0" xfId="0" applyFont="1"/>
    <xf numFmtId="0" fontId="31" fillId="0" borderId="0" xfId="0" applyFont="1"/>
    <xf numFmtId="0" fontId="7" fillId="0" borderId="0" xfId="0" applyFont="1" applyAlignment="1">
      <alignment horizontal="center"/>
    </xf>
    <xf numFmtId="0" fontId="7" fillId="0" borderId="0" xfId="0" applyFont="1" applyFill="1"/>
    <xf numFmtId="0" fontId="50" fillId="0" borderId="0" xfId="0" applyFont="1"/>
    <xf numFmtId="166" fontId="31" fillId="0" borderId="0" xfId="0" applyNumberFormat="1" applyFont="1" applyBorder="1"/>
    <xf numFmtId="171" fontId="31" fillId="0" borderId="0" xfId="2" applyNumberFormat="1" applyFont="1" applyAlignment="1">
      <alignment horizontal="center"/>
    </xf>
    <xf numFmtId="0" fontId="4" fillId="0" borderId="0" xfId="52"/>
    <xf numFmtId="9" fontId="31" fillId="0" borderId="14" xfId="3" applyFont="1" applyBorder="1" applyAlignment="1">
      <alignment horizontal="center" vertical="center"/>
    </xf>
    <xf numFmtId="0" fontId="0" fillId="17" borderId="0" xfId="0" applyFill="1"/>
    <xf numFmtId="0" fontId="52" fillId="17" borderId="0" xfId="0" applyFont="1" applyFill="1"/>
    <xf numFmtId="0" fontId="51" fillId="17" borderId="3" xfId="0" applyFont="1" applyFill="1" applyBorder="1"/>
    <xf numFmtId="171" fontId="0" fillId="17" borderId="0" xfId="0" applyNumberFormat="1" applyFill="1"/>
    <xf numFmtId="10" fontId="14" fillId="0" borderId="0" xfId="0" applyNumberFormat="1" applyFont="1"/>
    <xf numFmtId="0" fontId="54" fillId="17" borderId="0" xfId="0" applyFont="1" applyFill="1" applyAlignment="1">
      <alignment horizontal="center"/>
    </xf>
    <xf numFmtId="0" fontId="55" fillId="17" borderId="0" xfId="0" applyFont="1" applyFill="1"/>
    <xf numFmtId="1" fontId="40" fillId="0" borderId="0" xfId="0" applyNumberFormat="1" applyFont="1"/>
    <xf numFmtId="0" fontId="14" fillId="0" borderId="0" xfId="0" applyFont="1" applyAlignment="1"/>
    <xf numFmtId="0" fontId="17" fillId="19" borderId="22" xfId="0" applyFont="1" applyFill="1" applyBorder="1" applyAlignment="1">
      <alignment horizontal="center" vertical="center"/>
    </xf>
    <xf numFmtId="0" fontId="17" fillId="19" borderId="22" xfId="0" applyFont="1" applyFill="1" applyBorder="1" applyAlignment="1">
      <alignment horizontal="center" vertical="center" wrapText="1"/>
    </xf>
    <xf numFmtId="0" fontId="17" fillId="19" borderId="21" xfId="0" applyFont="1" applyFill="1" applyBorder="1" applyAlignment="1">
      <alignment horizontal="center" vertical="center" wrapText="1"/>
    </xf>
    <xf numFmtId="0" fontId="17" fillId="19" borderId="20" xfId="0" applyFont="1" applyFill="1" applyBorder="1"/>
    <xf numFmtId="0" fontId="17" fillId="19" borderId="17" xfId="0" applyFont="1" applyFill="1" applyBorder="1"/>
    <xf numFmtId="1" fontId="32" fillId="0" borderId="0" xfId="9" applyNumberFormat="1" applyFont="1" applyBorder="1" applyAlignment="1">
      <alignment horizontal="center"/>
    </xf>
    <xf numFmtId="1" fontId="31" fillId="0" borderId="14" xfId="9" applyNumberFormat="1" applyFont="1" applyBorder="1" applyAlignment="1">
      <alignment horizontal="center" vertical="center"/>
    </xf>
    <xf numFmtId="0" fontId="17" fillId="19" borderId="13" xfId="0" applyFont="1" applyFill="1" applyBorder="1" applyAlignment="1"/>
    <xf numFmtId="0" fontId="17" fillId="19" borderId="13" xfId="0" applyFont="1" applyFill="1" applyBorder="1" applyAlignment="1">
      <alignment horizontal="center"/>
    </xf>
    <xf numFmtId="0" fontId="17" fillId="19" borderId="13" xfId="0" applyFont="1" applyFill="1" applyBorder="1" applyAlignment="1">
      <alignment horizontal="center" vertical="center"/>
    </xf>
    <xf numFmtId="0" fontId="17" fillId="19" borderId="13" xfId="0" applyFont="1" applyFill="1" applyBorder="1" applyAlignment="1">
      <alignment horizontal="center" vertical="center" wrapText="1"/>
    </xf>
    <xf numFmtId="0" fontId="14" fillId="0" borderId="22" xfId="0" applyFont="1" applyFill="1" applyBorder="1" applyAlignment="1">
      <alignment horizontal="center" vertical="center"/>
    </xf>
    <xf numFmtId="0" fontId="14" fillId="0" borderId="22" xfId="0" applyFont="1" applyFill="1" applyBorder="1" applyAlignment="1">
      <alignment horizontal="center" vertical="center" wrapText="1"/>
    </xf>
    <xf numFmtId="0" fontId="14" fillId="0" borderId="21" xfId="0" applyFont="1" applyFill="1" applyBorder="1" applyAlignment="1">
      <alignment horizontal="center" vertical="center" wrapText="1"/>
    </xf>
    <xf numFmtId="9" fontId="14" fillId="0" borderId="22" xfId="3" applyNumberFormat="1" applyFont="1" applyFill="1" applyBorder="1" applyAlignment="1">
      <alignment horizontal="center" vertical="center"/>
    </xf>
    <xf numFmtId="1" fontId="14" fillId="0" borderId="22" xfId="0" applyNumberFormat="1" applyFont="1" applyFill="1" applyBorder="1" applyAlignment="1">
      <alignment horizontal="center" vertical="center"/>
    </xf>
    <xf numFmtId="174" fontId="14" fillId="0" borderId="22" xfId="0" applyNumberFormat="1" applyFont="1" applyFill="1" applyBorder="1" applyAlignment="1">
      <alignment horizontal="center" vertical="center"/>
    </xf>
    <xf numFmtId="174" fontId="14" fillId="0" borderId="11" xfId="0" applyNumberFormat="1" applyFont="1" applyFill="1" applyBorder="1" applyAlignment="1">
      <alignment horizontal="center" vertical="center"/>
    </xf>
    <xf numFmtId="9" fontId="14" fillId="0" borderId="11" xfId="3" applyNumberFormat="1" applyFont="1" applyFill="1" applyBorder="1" applyAlignment="1">
      <alignment horizontal="center" vertical="center"/>
    </xf>
    <xf numFmtId="174" fontId="14" fillId="0" borderId="13" xfId="0" applyNumberFormat="1" applyFont="1" applyFill="1" applyBorder="1" applyAlignment="1">
      <alignment horizontal="center" vertical="center"/>
    </xf>
    <xf numFmtId="10" fontId="14" fillId="0" borderId="13" xfId="3" applyNumberFormat="1" applyFont="1" applyFill="1" applyBorder="1" applyAlignment="1">
      <alignment horizontal="center"/>
    </xf>
    <xf numFmtId="1" fontId="14" fillId="0" borderId="13" xfId="9" applyNumberFormat="1" applyFont="1" applyFill="1" applyBorder="1" applyAlignment="1">
      <alignment horizontal="center" wrapText="1"/>
    </xf>
    <xf numFmtId="9" fontId="14" fillId="0" borderId="13" xfId="3" applyNumberFormat="1" applyFont="1" applyFill="1" applyBorder="1" applyAlignment="1">
      <alignment horizontal="center" wrapText="1"/>
    </xf>
    <xf numFmtId="9" fontId="14" fillId="0" borderId="13" xfId="3" applyNumberFormat="1" applyFont="1" applyFill="1" applyBorder="1" applyAlignment="1">
      <alignment horizontal="center"/>
    </xf>
    <xf numFmtId="9" fontId="47" fillId="0" borderId="13" xfId="3" applyNumberFormat="1" applyFont="1" applyFill="1" applyBorder="1" applyAlignment="1">
      <alignment horizontal="center"/>
    </xf>
    <xf numFmtId="0" fontId="14" fillId="0" borderId="20" xfId="0" applyFont="1" applyFill="1" applyBorder="1"/>
    <xf numFmtId="9" fontId="14" fillId="0" borderId="17" xfId="3" applyFont="1" applyFill="1" applyBorder="1"/>
    <xf numFmtId="0" fontId="14" fillId="0" borderId="18" xfId="0" applyFont="1" applyFill="1" applyBorder="1"/>
    <xf numFmtId="9" fontId="14" fillId="0" borderId="19" xfId="3" applyFont="1" applyFill="1" applyBorder="1"/>
    <xf numFmtId="0" fontId="27" fillId="0" borderId="4" xfId="0" applyFont="1" applyFill="1" applyBorder="1" applyAlignment="1">
      <alignment horizontal="center" vertical="center"/>
    </xf>
    <xf numFmtId="0" fontId="27" fillId="0" borderId="7" xfId="0" applyFont="1" applyFill="1" applyBorder="1" applyAlignment="1">
      <alignment horizontal="center" vertical="center"/>
    </xf>
    <xf numFmtId="0" fontId="58" fillId="0" borderId="4" xfId="8" applyFont="1" applyFill="1" applyBorder="1" applyAlignment="1">
      <alignment horizontal="center" vertical="center"/>
    </xf>
    <xf numFmtId="0" fontId="59" fillId="0" borderId="4" xfId="0" applyFont="1" applyFill="1" applyBorder="1" applyAlignment="1">
      <alignment horizontal="center" vertical="center"/>
    </xf>
    <xf numFmtId="0" fontId="59" fillId="0" borderId="7"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9" xfId="0" applyFont="1" applyFill="1" applyBorder="1" applyAlignment="1">
      <alignment horizontal="center" vertical="center"/>
    </xf>
    <xf numFmtId="1" fontId="32" fillId="0" borderId="5" xfId="8" applyNumberFormat="1" applyFont="1" applyFill="1" applyBorder="1" applyAlignment="1">
      <alignment horizontal="center" vertical="center"/>
    </xf>
    <xf numFmtId="1" fontId="32" fillId="0" borderId="6" xfId="8" applyNumberFormat="1" applyFont="1" applyFill="1" applyBorder="1" applyAlignment="1">
      <alignment horizontal="center" vertical="center"/>
    </xf>
    <xf numFmtId="1" fontId="60" fillId="0" borderId="5" xfId="0" applyNumberFormat="1" applyFont="1" applyFill="1" applyBorder="1" applyAlignment="1">
      <alignment horizontal="center" vertical="center"/>
    </xf>
    <xf numFmtId="1" fontId="60" fillId="0" borderId="6" xfId="0" applyNumberFormat="1" applyFont="1" applyFill="1" applyBorder="1" applyAlignment="1">
      <alignment horizontal="center" vertical="center"/>
    </xf>
    <xf numFmtId="1" fontId="60" fillId="0" borderId="8" xfId="0" applyNumberFormat="1" applyFont="1" applyFill="1" applyBorder="1" applyAlignment="1">
      <alignment horizontal="center" vertical="center"/>
    </xf>
    <xf numFmtId="1" fontId="60" fillId="0" borderId="9" xfId="0" applyNumberFormat="1" applyFont="1" applyFill="1" applyBorder="1" applyAlignment="1">
      <alignment horizontal="center" vertical="center"/>
    </xf>
    <xf numFmtId="1" fontId="28" fillId="0" borderId="5" xfId="0" applyNumberFormat="1" applyFont="1" applyFill="1" applyBorder="1" applyAlignment="1">
      <alignment horizontal="center" vertical="center"/>
    </xf>
    <xf numFmtId="1" fontId="46" fillId="0" borderId="5" xfId="0" applyNumberFormat="1" applyFont="1" applyFill="1" applyBorder="1" applyAlignment="1">
      <alignment horizontal="center" vertical="center"/>
    </xf>
    <xf numFmtId="1" fontId="28" fillId="0" borderId="8" xfId="0" applyNumberFormat="1" applyFont="1" applyFill="1" applyBorder="1" applyAlignment="1">
      <alignment horizontal="center" vertical="center"/>
    </xf>
    <xf numFmtId="1" fontId="46" fillId="0" borderId="8" xfId="0" applyNumberFormat="1" applyFont="1" applyFill="1" applyBorder="1" applyAlignment="1">
      <alignment horizontal="center" vertical="center"/>
    </xf>
    <xf numFmtId="166" fontId="0" fillId="17" borderId="0" xfId="1" applyNumberFormat="1" applyFont="1" applyFill="1"/>
    <xf numFmtId="0" fontId="36" fillId="17" borderId="0" xfId="0" applyFont="1" applyFill="1"/>
    <xf numFmtId="0" fontId="45" fillId="17" borderId="0" xfId="0" applyFont="1" applyFill="1" applyBorder="1" applyAlignment="1">
      <alignment horizontal="center"/>
    </xf>
    <xf numFmtId="0" fontId="45" fillId="17" borderId="0" xfId="0" applyFont="1" applyFill="1" applyBorder="1" applyAlignment="1">
      <alignment horizontal="center" vertical="center"/>
    </xf>
    <xf numFmtId="2" fontId="47" fillId="17" borderId="0" xfId="0" applyNumberFormat="1" applyFont="1" applyFill="1" applyBorder="1" applyAlignment="1">
      <alignment horizontal="center"/>
    </xf>
    <xf numFmtId="2" fontId="14" fillId="0" borderId="16" xfId="0" applyNumberFormat="1" applyFont="1" applyFill="1" applyBorder="1" applyAlignment="1">
      <alignment horizontal="center"/>
    </xf>
    <xf numFmtId="2" fontId="14" fillId="0" borderId="23" xfId="0" applyNumberFormat="1" applyFont="1" applyFill="1" applyBorder="1" applyAlignment="1">
      <alignment horizontal="center" vertical="center"/>
    </xf>
    <xf numFmtId="0" fontId="14" fillId="0" borderId="16" xfId="0" applyFont="1" applyFill="1" applyBorder="1" applyAlignment="1">
      <alignment horizontal="center"/>
    </xf>
    <xf numFmtId="2" fontId="14" fillId="0" borderId="17" xfId="0" applyNumberFormat="1" applyFont="1" applyFill="1" applyBorder="1" applyAlignment="1">
      <alignment horizontal="center"/>
    </xf>
    <xf numFmtId="2" fontId="14" fillId="0" borderId="19" xfId="0" applyNumberFormat="1" applyFont="1" applyFill="1" applyBorder="1" applyAlignment="1">
      <alignment horizontal="center" vertical="center"/>
    </xf>
    <xf numFmtId="0" fontId="17" fillId="0" borderId="24" xfId="0" applyFont="1" applyFill="1" applyBorder="1" applyAlignment="1">
      <alignment horizontal="center"/>
    </xf>
    <xf numFmtId="0" fontId="18" fillId="0" borderId="24" xfId="0" applyFont="1" applyFill="1" applyBorder="1" applyAlignment="1">
      <alignment horizontal="center" vertical="center"/>
    </xf>
    <xf numFmtId="0" fontId="18" fillId="0" borderId="25" xfId="0" applyFont="1" applyFill="1" applyBorder="1" applyAlignment="1">
      <alignment horizontal="center" vertical="center"/>
    </xf>
    <xf numFmtId="0" fontId="45" fillId="0" borderId="16" xfId="0" applyFont="1" applyFill="1" applyBorder="1" applyAlignment="1">
      <alignment horizontal="center"/>
    </xf>
    <xf numFmtId="0" fontId="45" fillId="0" borderId="17" xfId="0" applyFont="1" applyFill="1" applyBorder="1" applyAlignment="1">
      <alignment horizontal="center"/>
    </xf>
    <xf numFmtId="0" fontId="61" fillId="17" borderId="0" xfId="0" applyFont="1" applyFill="1"/>
    <xf numFmtId="2" fontId="14" fillId="0" borderId="16" xfId="0" applyNumberFormat="1" applyFont="1" applyFill="1" applyBorder="1" applyAlignment="1">
      <alignment horizontal="center" vertical="center"/>
    </xf>
    <xf numFmtId="171" fontId="62" fillId="17" borderId="3" xfId="0" applyNumberFormat="1" applyFont="1" applyFill="1" applyBorder="1" applyAlignment="1">
      <alignment horizontal="center"/>
    </xf>
    <xf numFmtId="171" fontId="63" fillId="17" borderId="3" xfId="0" applyNumberFormat="1" applyFont="1" applyFill="1" applyBorder="1" applyAlignment="1">
      <alignment horizontal="center"/>
    </xf>
    <xf numFmtId="0" fontId="17" fillId="5" borderId="0" xfId="0" applyFont="1" applyFill="1" applyAlignment="1">
      <alignment horizontal="center"/>
    </xf>
    <xf numFmtId="9" fontId="11" fillId="2" borderId="13" xfId="4" applyNumberFormat="1" applyFont="1" applyBorder="1" applyAlignment="1">
      <alignment horizontal="right"/>
    </xf>
    <xf numFmtId="165" fontId="12" fillId="3" borderId="13" xfId="5" applyNumberFormat="1" applyFont="1" applyBorder="1"/>
    <xf numFmtId="167" fontId="11" fillId="2" borderId="13" xfId="3" applyNumberFormat="1" applyFont="1" applyFill="1" applyBorder="1" applyAlignment="1">
      <alignment vertical="center"/>
    </xf>
    <xf numFmtId="170" fontId="12" fillId="3" borderId="13" xfId="5" applyNumberFormat="1" applyFont="1" applyBorder="1" applyAlignment="1">
      <alignment horizontal="right" vertical="center"/>
    </xf>
    <xf numFmtId="166" fontId="12" fillId="3" borderId="13" xfId="5" applyNumberFormat="1" applyFont="1" applyBorder="1" applyAlignment="1">
      <alignment vertical="center"/>
    </xf>
    <xf numFmtId="166" fontId="11" fillId="2" borderId="13" xfId="4" applyNumberFormat="1" applyFont="1" applyBorder="1" applyAlignment="1">
      <alignment vertical="center"/>
    </xf>
    <xf numFmtId="165" fontId="11" fillId="2" borderId="13" xfId="4" applyNumberFormat="1" applyFont="1" applyBorder="1" applyAlignment="1">
      <alignment vertical="center"/>
    </xf>
    <xf numFmtId="166" fontId="11" fillId="13" borderId="13" xfId="4" applyNumberFormat="1" applyFont="1" applyFill="1" applyBorder="1" applyAlignment="1">
      <alignment vertical="center"/>
    </xf>
    <xf numFmtId="0" fontId="49" fillId="13" borderId="13" xfId="4" applyFont="1" applyFill="1" applyBorder="1" applyAlignment="1">
      <alignment horizontal="right" vertical="center" wrapText="1"/>
    </xf>
    <xf numFmtId="165" fontId="11" fillId="13" borderId="13" xfId="4" applyNumberFormat="1" applyFont="1" applyFill="1" applyBorder="1" applyAlignment="1">
      <alignment vertical="center"/>
    </xf>
    <xf numFmtId="176" fontId="12" fillId="3" borderId="13" xfId="5" applyNumberFormat="1" applyFont="1" applyBorder="1"/>
    <xf numFmtId="166" fontId="11" fillId="15" borderId="13" xfId="0" applyNumberFormat="1" applyFont="1" applyFill="1" applyBorder="1" applyAlignment="1">
      <alignment vertical="center"/>
    </xf>
    <xf numFmtId="0" fontId="11" fillId="13" borderId="13" xfId="4" applyFont="1" applyFill="1" applyBorder="1"/>
    <xf numFmtId="166" fontId="48" fillId="3" borderId="13" xfId="5" applyNumberFormat="1" applyFont="1" applyBorder="1"/>
    <xf numFmtId="9" fontId="12" fillId="3" borderId="13" xfId="3" applyFont="1" applyFill="1" applyBorder="1" applyAlignment="1">
      <alignment horizontal="right" vertical="center"/>
    </xf>
    <xf numFmtId="43" fontId="10" fillId="0" borderId="0" xfId="9" applyNumberFormat="1"/>
    <xf numFmtId="0" fontId="31" fillId="0" borderId="0" xfId="9" applyFont="1" applyFill="1"/>
    <xf numFmtId="0" fontId="20" fillId="0" borderId="0" xfId="9" applyFont="1" applyAlignment="1">
      <alignment horizontal="center" vertical="center"/>
    </xf>
    <xf numFmtId="0" fontId="10" fillId="0" borderId="0" xfId="9" applyBorder="1"/>
    <xf numFmtId="0" fontId="10" fillId="0" borderId="0" xfId="9" applyFill="1" applyBorder="1"/>
    <xf numFmtId="9" fontId="10" fillId="0" borderId="0" xfId="9" applyNumberFormat="1" applyBorder="1"/>
    <xf numFmtId="2" fontId="32" fillId="0" borderId="0" xfId="9" applyNumberFormat="1" applyFont="1" applyBorder="1" applyAlignment="1">
      <alignment horizontal="center" vertical="center"/>
    </xf>
    <xf numFmtId="173" fontId="32" fillId="0" borderId="0" xfId="9" applyNumberFormat="1" applyFont="1" applyAlignment="1">
      <alignment horizontal="center"/>
    </xf>
    <xf numFmtId="0" fontId="42" fillId="19" borderId="20" xfId="9" applyNumberFormat="1" applyFont="1" applyFill="1" applyBorder="1" applyAlignment="1"/>
    <xf numFmtId="0" fontId="42" fillId="19" borderId="16" xfId="9" applyNumberFormat="1" applyFont="1" applyFill="1" applyBorder="1" applyAlignment="1"/>
    <xf numFmtId="0" fontId="42" fillId="19" borderId="17" xfId="9" applyNumberFormat="1" applyFont="1" applyFill="1" applyBorder="1" applyAlignment="1"/>
    <xf numFmtId="171" fontId="10" fillId="0" borderId="0" xfId="9" applyNumberFormat="1" applyFill="1"/>
    <xf numFmtId="169" fontId="16" fillId="2" borderId="1" xfId="2" applyNumberFormat="1" applyFont="1" applyFill="1" applyBorder="1" applyAlignment="1">
      <alignment horizontal="center"/>
    </xf>
    <xf numFmtId="1" fontId="16" fillId="2" borderId="1" xfId="3" applyNumberFormat="1" applyFont="1" applyFill="1" applyBorder="1" applyAlignment="1">
      <alignment horizontal="center"/>
    </xf>
    <xf numFmtId="9" fontId="18" fillId="0" borderId="21" xfId="3" applyNumberFormat="1" applyFont="1" applyFill="1" applyBorder="1" applyAlignment="1">
      <alignment horizontal="center" vertical="center"/>
    </xf>
    <xf numFmtId="1" fontId="18" fillId="0" borderId="21" xfId="0" applyNumberFormat="1" applyFont="1" applyFill="1" applyBorder="1" applyAlignment="1">
      <alignment horizontal="center" vertical="center"/>
    </xf>
    <xf numFmtId="9" fontId="18" fillId="0" borderId="13" xfId="3" applyNumberFormat="1" applyFont="1" applyFill="1" applyBorder="1" applyAlignment="1">
      <alignment horizontal="center" vertical="center"/>
    </xf>
    <xf numFmtId="1" fontId="14" fillId="0" borderId="0" xfId="0" applyNumberFormat="1" applyFont="1"/>
    <xf numFmtId="0" fontId="65" fillId="16" borderId="0" xfId="0" applyFont="1" applyFill="1" applyBorder="1" applyAlignment="1">
      <alignment horizontal="center" vertical="center" wrapText="1" readingOrder="1"/>
    </xf>
    <xf numFmtId="0" fontId="65" fillId="16" borderId="0" xfId="0" applyFont="1" applyFill="1" applyAlignment="1">
      <alignment horizontal="center" vertical="center" wrapText="1" readingOrder="1"/>
    </xf>
    <xf numFmtId="0" fontId="66" fillId="0" borderId="13" xfId="0" applyFont="1" applyBorder="1" applyAlignment="1">
      <alignment horizontal="left" vertical="center" wrapText="1" readingOrder="1"/>
    </xf>
    <xf numFmtId="6" fontId="66" fillId="0" borderId="13" xfId="0" applyNumberFormat="1" applyFont="1" applyBorder="1" applyAlignment="1">
      <alignment horizontal="center" vertical="center" wrapText="1" readingOrder="1"/>
    </xf>
    <xf numFmtId="8" fontId="66" fillId="0" borderId="13" xfId="0" applyNumberFormat="1" applyFont="1" applyBorder="1" applyAlignment="1">
      <alignment horizontal="center" vertical="center" wrapText="1" readingOrder="1"/>
    </xf>
    <xf numFmtId="0" fontId="67" fillId="0" borderId="13" xfId="0" applyFont="1" applyBorder="1" applyAlignment="1">
      <alignment horizontal="left" vertical="center" wrapText="1" indent="1" readingOrder="1"/>
    </xf>
    <xf numFmtId="6" fontId="67" fillId="0" borderId="13" xfId="0" applyNumberFormat="1" applyFont="1" applyBorder="1" applyAlignment="1">
      <alignment horizontal="center" vertical="center" wrapText="1" readingOrder="1"/>
    </xf>
    <xf numFmtId="8" fontId="67" fillId="0" borderId="13" xfId="0" applyNumberFormat="1" applyFont="1" applyBorder="1" applyAlignment="1">
      <alignment horizontal="center" vertical="center" wrapText="1" readingOrder="1"/>
    </xf>
    <xf numFmtId="0" fontId="68" fillId="0" borderId="13" xfId="0" applyFont="1" applyBorder="1" applyAlignment="1">
      <alignment horizontal="left" vertical="center" wrapText="1" indent="1" readingOrder="1"/>
    </xf>
    <xf numFmtId="6" fontId="69" fillId="0" borderId="13" xfId="0" applyNumberFormat="1" applyFont="1" applyBorder="1" applyAlignment="1">
      <alignment horizontal="center" vertical="center" wrapText="1" readingOrder="1"/>
    </xf>
    <xf numFmtId="8" fontId="69" fillId="0" borderId="13" xfId="0" applyNumberFormat="1" applyFont="1" applyBorder="1" applyAlignment="1">
      <alignment horizontal="center" vertical="center" wrapText="1" readingOrder="1"/>
    </xf>
    <xf numFmtId="177" fontId="32" fillId="0" borderId="0" xfId="55" applyNumberFormat="1" applyFont="1" applyAlignment="1">
      <alignment horizontal="center"/>
    </xf>
    <xf numFmtId="0" fontId="0" fillId="17" borderId="0" xfId="0" applyFont="1" applyFill="1"/>
    <xf numFmtId="166" fontId="42" fillId="0" borderId="0" xfId="0" applyNumberFormat="1" applyFont="1" applyBorder="1"/>
    <xf numFmtId="0" fontId="53" fillId="18" borderId="3" xfId="0" applyFont="1" applyFill="1" applyBorder="1" applyAlignment="1" applyProtection="1">
      <alignment horizontal="center"/>
      <protection locked="0"/>
    </xf>
    <xf numFmtId="0" fontId="0" fillId="17" borderId="0" xfId="0" applyFill="1" applyProtection="1">
      <protection locked="0"/>
    </xf>
    <xf numFmtId="0" fontId="51" fillId="17" borderId="0" xfId="0" applyFont="1" applyFill="1" applyAlignment="1" applyProtection="1">
      <alignment horizontal="center"/>
      <protection locked="0"/>
    </xf>
    <xf numFmtId="0" fontId="3" fillId="0" borderId="0" xfId="0" applyFont="1" applyAlignment="1">
      <alignment horizontal="center"/>
    </xf>
    <xf numFmtId="0" fontId="3" fillId="0" borderId="0" xfId="0" applyFont="1"/>
    <xf numFmtId="0" fontId="3" fillId="0" borderId="0" xfId="0" applyFont="1" applyAlignment="1"/>
    <xf numFmtId="171" fontId="3" fillId="0" borderId="0" xfId="0" applyNumberFormat="1" applyFont="1"/>
    <xf numFmtId="170" fontId="3" fillId="0" borderId="0" xfId="0" applyNumberFormat="1" applyFont="1"/>
    <xf numFmtId="166" fontId="3" fillId="0" borderId="0" xfId="0" applyNumberFormat="1" applyFont="1"/>
    <xf numFmtId="172" fontId="3" fillId="0" borderId="0" xfId="0" applyNumberFormat="1" applyFont="1"/>
    <xf numFmtId="0" fontId="3" fillId="0" borderId="0" xfId="0" applyFont="1" applyFill="1"/>
    <xf numFmtId="43" fontId="3" fillId="0" borderId="0" xfId="0" applyNumberFormat="1" applyFont="1"/>
    <xf numFmtId="172" fontId="3" fillId="0" borderId="0" xfId="0" applyNumberFormat="1" applyFont="1" applyAlignment="1">
      <alignment horizontal="center"/>
    </xf>
    <xf numFmtId="166" fontId="3" fillId="0" borderId="0" xfId="1" applyNumberFormat="1" applyFont="1"/>
    <xf numFmtId="0" fontId="3" fillId="0" borderId="0" xfId="0" applyFont="1" applyAlignment="1">
      <alignment vertical="center"/>
    </xf>
    <xf numFmtId="0" fontId="3" fillId="0" borderId="0" xfId="0" applyFont="1" applyAlignment="1">
      <alignment horizontal="left"/>
    </xf>
    <xf numFmtId="1" fontId="3" fillId="0" borderId="0" xfId="0" applyNumberFormat="1" applyFont="1"/>
    <xf numFmtId="9" fontId="3" fillId="0" borderId="0" xfId="3" applyFont="1"/>
    <xf numFmtId="171" fontId="3" fillId="0" borderId="0" xfId="0" applyNumberFormat="1" applyFont="1" applyAlignment="1">
      <alignment horizontal="right"/>
    </xf>
    <xf numFmtId="6" fontId="3" fillId="0" borderId="0" xfId="0" applyNumberFormat="1" applyFont="1"/>
    <xf numFmtId="9" fontId="3" fillId="0" borderId="0" xfId="3" applyFont="1" applyAlignment="1">
      <alignment horizontal="center"/>
    </xf>
    <xf numFmtId="0" fontId="3" fillId="0" borderId="0" xfId="0" applyNumberFormat="1" applyFont="1" applyAlignment="1">
      <alignment horizontal="center"/>
    </xf>
    <xf numFmtId="6" fontId="3" fillId="0" borderId="0" xfId="0" applyNumberFormat="1" applyFont="1" applyAlignment="1">
      <alignment horizontal="center"/>
    </xf>
    <xf numFmtId="0" fontId="3" fillId="0" borderId="0" xfId="9" applyFont="1"/>
    <xf numFmtId="0" fontId="3" fillId="0" borderId="0" xfId="9" applyFont="1" applyFill="1"/>
    <xf numFmtId="0" fontId="3" fillId="0" borderId="20" xfId="9" applyNumberFormat="1" applyFont="1" applyFill="1" applyBorder="1" applyAlignment="1"/>
    <xf numFmtId="171" fontId="3" fillId="0" borderId="16" xfId="9" applyNumberFormat="1" applyFont="1" applyFill="1" applyBorder="1" applyAlignment="1"/>
    <xf numFmtId="171" fontId="3" fillId="0" borderId="17" xfId="9" applyNumberFormat="1" applyFont="1" applyFill="1" applyBorder="1" applyAlignment="1"/>
    <xf numFmtId="0" fontId="3" fillId="0" borderId="18" xfId="9" applyNumberFormat="1" applyFont="1" applyFill="1" applyBorder="1" applyAlignment="1"/>
    <xf numFmtId="171" fontId="3" fillId="0" borderId="23" xfId="9" applyNumberFormat="1" applyFont="1" applyFill="1" applyBorder="1" applyAlignment="1"/>
    <xf numFmtId="0" fontId="3" fillId="0" borderId="0" xfId="9" applyFont="1" applyAlignment="1">
      <alignment horizontal="center" vertical="center" wrapText="1"/>
    </xf>
    <xf numFmtId="9" fontId="3" fillId="0" borderId="0" xfId="3" applyFont="1" applyAlignment="1">
      <alignment horizontal="center" vertical="center"/>
    </xf>
    <xf numFmtId="0" fontId="3" fillId="0" borderId="0" xfId="14" applyFont="1" applyFill="1" applyBorder="1"/>
    <xf numFmtId="0" fontId="3" fillId="0" borderId="10" xfId="14" applyFont="1" applyBorder="1"/>
    <xf numFmtId="0" fontId="3" fillId="0" borderId="0" xfId="14" applyFont="1" applyBorder="1"/>
    <xf numFmtId="0" fontId="3" fillId="13" borderId="0" xfId="14" applyFont="1" applyFill="1" applyBorder="1"/>
    <xf numFmtId="0" fontId="3" fillId="13" borderId="10" xfId="14" applyFont="1" applyFill="1" applyBorder="1"/>
    <xf numFmtId="0" fontId="3" fillId="0" borderId="0" xfId="14" applyFont="1"/>
    <xf numFmtId="0" fontId="3" fillId="13" borderId="14" xfId="14" applyFont="1" applyFill="1" applyBorder="1" applyAlignment="1">
      <alignment vertical="center"/>
    </xf>
    <xf numFmtId="172" fontId="14" fillId="0" borderId="0" xfId="0" applyNumberFormat="1" applyFont="1"/>
    <xf numFmtId="175" fontId="14" fillId="0" borderId="0" xfId="1" applyNumberFormat="1" applyFont="1"/>
    <xf numFmtId="0" fontId="55" fillId="17" borderId="0" xfId="0" applyFont="1" applyFill="1" applyAlignment="1">
      <alignment horizontal="center"/>
    </xf>
    <xf numFmtId="0" fontId="2" fillId="0" borderId="0" xfId="14" applyFont="1"/>
    <xf numFmtId="171" fontId="11" fillId="2" borderId="13" xfId="2" applyNumberFormat="1" applyFont="1" applyFill="1" applyBorder="1"/>
    <xf numFmtId="171" fontId="12" fillId="3" borderId="13" xfId="5" applyNumberFormat="1" applyFont="1" applyBorder="1"/>
    <xf numFmtId="0" fontId="17" fillId="16" borderId="13" xfId="0" applyFont="1" applyFill="1" applyBorder="1" applyAlignment="1">
      <alignment horizontal="center"/>
    </xf>
    <xf numFmtId="0" fontId="2" fillId="0" borderId="0" xfId="0" applyFont="1"/>
    <xf numFmtId="0" fontId="44" fillId="0" borderId="0" xfId="0" applyFont="1"/>
    <xf numFmtId="167" fontId="11" fillId="2" borderId="13" xfId="3" applyNumberFormat="1" applyFont="1" applyFill="1" applyBorder="1" applyAlignment="1">
      <alignment horizontal="right" vertical="center"/>
    </xf>
    <xf numFmtId="9" fontId="0" fillId="0" borderId="0" xfId="0" applyNumberFormat="1"/>
    <xf numFmtId="2" fontId="0" fillId="0" borderId="0" xfId="0" applyNumberFormat="1"/>
    <xf numFmtId="168" fontId="32" fillId="0" borderId="0" xfId="9" applyNumberFormat="1" applyFont="1"/>
    <xf numFmtId="166" fontId="2" fillId="0" borderId="0" xfId="1" applyNumberFormat="1" applyFont="1"/>
    <xf numFmtId="0" fontId="2" fillId="0" borderId="0" xfId="9" applyFont="1" applyFill="1"/>
    <xf numFmtId="168" fontId="14" fillId="0" borderId="13" xfId="9" applyNumberFormat="1" applyFont="1" applyFill="1" applyBorder="1" applyAlignment="1">
      <alignment horizontal="center" wrapText="1"/>
    </xf>
    <xf numFmtId="173" fontId="58" fillId="0" borderId="0" xfId="9" applyNumberFormat="1" applyFont="1" applyAlignment="1">
      <alignment horizontal="center"/>
    </xf>
    <xf numFmtId="0" fontId="31" fillId="0" borderId="0" xfId="9" applyFont="1"/>
    <xf numFmtId="9" fontId="11" fillId="2" borderId="1" xfId="4" applyNumberFormat="1" applyFont="1" applyAlignment="1">
      <alignment horizontal="center" vertical="center"/>
    </xf>
    <xf numFmtId="0" fontId="1" fillId="0" borderId="0" xfId="0" applyFont="1"/>
    <xf numFmtId="9" fontId="0" fillId="0" borderId="0" xfId="3" applyFont="1"/>
    <xf numFmtId="9" fontId="58" fillId="0" borderId="14" xfId="3" applyFont="1" applyBorder="1" applyAlignment="1">
      <alignment horizontal="center" vertical="center"/>
    </xf>
    <xf numFmtId="0" fontId="1" fillId="0" borderId="0" xfId="9" applyFont="1"/>
    <xf numFmtId="0" fontId="20" fillId="14" borderId="13" xfId="9" applyFont="1" applyFill="1" applyBorder="1" applyAlignment="1"/>
    <xf numFmtId="0" fontId="71" fillId="17" borderId="0" xfId="0" applyFont="1" applyFill="1" applyAlignment="1">
      <alignment horizontal="center"/>
    </xf>
    <xf numFmtId="0" fontId="56" fillId="17" borderId="0" xfId="0" applyFont="1" applyFill="1" applyAlignment="1">
      <alignment horizontal="center" wrapText="1"/>
    </xf>
    <xf numFmtId="0" fontId="56" fillId="17" borderId="0" xfId="0" applyFont="1" applyFill="1" applyAlignment="1">
      <alignment horizontal="center"/>
    </xf>
    <xf numFmtId="0" fontId="42" fillId="16" borderId="0" xfId="0" applyFont="1" applyFill="1" applyAlignment="1">
      <alignment horizontal="center"/>
    </xf>
    <xf numFmtId="0" fontId="17" fillId="16" borderId="13" xfId="0" applyFont="1" applyFill="1" applyBorder="1" applyAlignment="1">
      <alignment horizontal="center"/>
    </xf>
    <xf numFmtId="0" fontId="64" fillId="18" borderId="13" xfId="9" applyFont="1" applyFill="1" applyBorder="1" applyAlignment="1">
      <alignment horizontal="center"/>
    </xf>
    <xf numFmtId="0" fontId="20" fillId="11" borderId="11" xfId="9" applyFont="1" applyFill="1" applyBorder="1" applyAlignment="1">
      <alignment horizontal="center"/>
    </xf>
    <xf numFmtId="0" fontId="20" fillId="11" borderId="12" xfId="9" applyFont="1" applyFill="1" applyBorder="1" applyAlignment="1">
      <alignment horizontal="center"/>
    </xf>
    <xf numFmtId="0" fontId="20" fillId="20" borderId="13" xfId="9" applyFont="1" applyFill="1" applyBorder="1" applyAlignment="1">
      <alignment horizontal="center"/>
    </xf>
    <xf numFmtId="0" fontId="20" fillId="21" borderId="13" xfId="9" applyFont="1" applyFill="1" applyBorder="1" applyAlignment="1">
      <alignment horizontal="center"/>
    </xf>
    <xf numFmtId="0" fontId="20" fillId="22" borderId="11" xfId="9" applyFont="1" applyFill="1" applyBorder="1" applyAlignment="1">
      <alignment horizontal="center"/>
    </xf>
    <xf numFmtId="0" fontId="20" fillId="22" borderId="14" xfId="9" applyFont="1" applyFill="1" applyBorder="1" applyAlignment="1">
      <alignment horizontal="center"/>
    </xf>
    <xf numFmtId="0" fontId="20" fillId="22" borderId="12" xfId="9" applyFont="1" applyFill="1" applyBorder="1" applyAlignment="1">
      <alignment horizontal="center"/>
    </xf>
    <xf numFmtId="0" fontId="20" fillId="23" borderId="11" xfId="9" applyFont="1" applyFill="1" applyBorder="1" applyAlignment="1">
      <alignment horizontal="center"/>
    </xf>
    <xf numFmtId="0" fontId="20" fillId="23" borderId="14" xfId="9" applyFont="1" applyFill="1" applyBorder="1" applyAlignment="1">
      <alignment horizontal="center"/>
    </xf>
    <xf numFmtId="0" fontId="20" fillId="23" borderId="12" xfId="9" applyFont="1" applyFill="1" applyBorder="1" applyAlignment="1">
      <alignment horizontal="center"/>
    </xf>
    <xf numFmtId="0" fontId="20" fillId="14" borderId="11" xfId="9" applyFont="1" applyFill="1" applyBorder="1" applyAlignment="1">
      <alignment horizontal="center"/>
    </xf>
    <xf numFmtId="0" fontId="20" fillId="14" borderId="12" xfId="9" applyFont="1" applyFill="1" applyBorder="1" applyAlignment="1">
      <alignment horizontal="center"/>
    </xf>
    <xf numFmtId="0" fontId="20" fillId="14" borderId="13" xfId="9" applyFont="1" applyFill="1" applyBorder="1" applyAlignment="1">
      <alignment horizontal="center"/>
    </xf>
    <xf numFmtId="0" fontId="36" fillId="13" borderId="10" xfId="14" applyFont="1" applyFill="1" applyBorder="1" applyAlignment="1">
      <alignment horizontal="center" vertical="center" textRotation="90"/>
    </xf>
    <xf numFmtId="0" fontId="36" fillId="13" borderId="3" xfId="14" applyFont="1" applyFill="1" applyBorder="1" applyAlignment="1">
      <alignment horizontal="center" vertical="center" textRotation="90"/>
    </xf>
    <xf numFmtId="0" fontId="32" fillId="0" borderId="0" xfId="14" applyFont="1" applyBorder="1" applyAlignment="1">
      <alignment horizontal="center" vertical="center" wrapText="1"/>
    </xf>
    <xf numFmtId="0" fontId="32" fillId="0" borderId="3" xfId="14" applyFont="1" applyBorder="1" applyAlignment="1">
      <alignment horizontal="center" vertical="center" wrapText="1"/>
    </xf>
    <xf numFmtId="0" fontId="32" fillId="13" borderId="10" xfId="14" applyFont="1" applyFill="1" applyBorder="1" applyAlignment="1">
      <alignment horizontal="center" vertical="center"/>
    </xf>
    <xf numFmtId="0" fontId="32" fillId="13" borderId="0" xfId="14" applyFont="1" applyFill="1" applyBorder="1" applyAlignment="1">
      <alignment horizontal="center" vertical="center"/>
    </xf>
    <xf numFmtId="0" fontId="32" fillId="13" borderId="3" xfId="14" applyFont="1" applyFill="1" applyBorder="1" applyAlignment="1">
      <alignment horizontal="center" vertical="center"/>
    </xf>
    <xf numFmtId="0" fontId="36" fillId="0" borderId="0" xfId="14" applyFont="1" applyBorder="1" applyAlignment="1">
      <alignment horizontal="center" vertical="center" textRotation="90" wrapText="1"/>
    </xf>
    <xf numFmtId="0" fontId="36" fillId="0" borderId="3" xfId="14" applyFont="1" applyBorder="1" applyAlignment="1">
      <alignment horizontal="center" vertical="center" textRotation="90" wrapText="1"/>
    </xf>
    <xf numFmtId="0" fontId="32" fillId="0" borderId="10" xfId="14" applyFont="1" applyBorder="1" applyAlignment="1">
      <alignment horizontal="center" vertical="center" wrapText="1"/>
    </xf>
    <xf numFmtId="0" fontId="42" fillId="7" borderId="0" xfId="19" applyFont="1" applyFill="1" applyBorder="1" applyAlignment="1">
      <alignment horizontal="center" vertical="center" wrapText="1"/>
    </xf>
    <xf numFmtId="0" fontId="28" fillId="0" borderId="5" xfId="0" applyFont="1" applyBorder="1" applyAlignment="1">
      <alignment vertical="center"/>
    </xf>
    <xf numFmtId="0" fontId="28" fillId="0" borderId="5" xfId="0" applyFont="1" applyFill="1" applyBorder="1" applyAlignment="1">
      <alignment vertical="center" wrapText="1"/>
    </xf>
    <xf numFmtId="0" fontId="28" fillId="0" borderId="5" xfId="0" applyFont="1" applyFill="1" applyBorder="1" applyAlignment="1">
      <alignment vertical="center"/>
    </xf>
  </cellXfs>
  <cellStyles count="56">
    <cellStyle name="Calculation" xfId="18" builtinId="22"/>
    <cellStyle name="Comma" xfId="1" builtinId="3"/>
    <cellStyle name="Comma 2" xfId="6" xr:uid="{00000000-0005-0000-0000-000002000000}"/>
    <cellStyle name="Comma 2 2" xfId="13" xr:uid="{00000000-0005-0000-0000-000003000000}"/>
    <cellStyle name="Comma 3" xfId="11" xr:uid="{00000000-0005-0000-0000-000004000000}"/>
    <cellStyle name="Comma 4" xfId="48" xr:uid="{1EA3D563-D690-4A6D-9279-FB29F6FA0757}"/>
    <cellStyle name="Comma 5" xfId="50" xr:uid="{6FB33A3E-B394-438C-9172-5324A4430457}"/>
    <cellStyle name="Comma 6" xfId="53" xr:uid="{A0450DC7-98C5-4EA6-A0B4-6E8D9F9E09C5}"/>
    <cellStyle name="Currency" xfId="2" builtinId="4"/>
    <cellStyle name="Currency 2" xfId="12" xr:uid="{00000000-0005-0000-0000-000006000000}"/>
    <cellStyle name="Currency 3" xfId="20" xr:uid="{00000000-0005-0000-0000-000007000000}"/>
    <cellStyle name="Explanatory Text" xfId="17" builtinId="53"/>
    <cellStyle name="Followed Hyperlink" xfId="34" builtinId="9" hidden="1"/>
    <cellStyle name="Followed Hyperlink" xfId="36" builtinId="9" hidden="1"/>
    <cellStyle name="Followed Hyperlink" xfId="37" builtinId="9" hidden="1"/>
    <cellStyle name="Followed Hyperlink" xfId="38" builtinId="9" hidden="1"/>
    <cellStyle name="Followed Hyperlink" xfId="40" builtinId="9" hidden="1"/>
    <cellStyle name="Followed Hyperlink" xfId="41" builtinId="9" hidden="1"/>
    <cellStyle name="Followed Hyperlink" xfId="42" builtinId="9" hidden="1"/>
    <cellStyle name="Followed Hyperlink" xfId="44" builtinId="9" hidden="1"/>
    <cellStyle name="Followed Hyperlink" xfId="45" builtinId="9" hidden="1"/>
    <cellStyle name="Followed Hyperlink" xfId="46" builtinId="9" hidden="1"/>
    <cellStyle name="Followed Hyperlink" xfId="43" builtinId="9" hidden="1"/>
    <cellStyle name="Followed Hyperlink" xfId="39" builtinId="9" hidden="1"/>
    <cellStyle name="Followed Hyperlink" xfId="35" builtinId="9" hidden="1"/>
    <cellStyle name="Followed Hyperlink" xfId="26"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27" builtinId="9" hidden="1"/>
    <cellStyle name="Followed Hyperlink" xfId="23" builtinId="9" hidden="1"/>
    <cellStyle name="Followed Hyperlink" xfId="24" builtinId="9" hidden="1"/>
    <cellStyle name="Followed Hyperlink" xfId="25" builtinId="9" hidden="1"/>
    <cellStyle name="Followed Hyperlink" xfId="22" builtinId="9" hidden="1"/>
    <cellStyle name="Followed Hyperlink" xfId="16" builtinId="9" hidden="1"/>
    <cellStyle name="Good" xfId="8" builtinId="26"/>
    <cellStyle name="Hyperlink" xfId="7" builtinId="8"/>
    <cellStyle name="Input" xfId="4" builtinId="20"/>
    <cellStyle name="Normal" xfId="0" builtinId="0"/>
    <cellStyle name="Normal 2" xfId="19" xr:uid="{00000000-0005-0000-0000-000027000000}"/>
    <cellStyle name="Normal 3" xfId="47" xr:uid="{66C9DD59-CD50-49E1-A594-806AD0777280}"/>
    <cellStyle name="Normal 35" xfId="9" xr:uid="{00000000-0005-0000-0000-000028000000}"/>
    <cellStyle name="Normal 35 2" xfId="14" xr:uid="{00000000-0005-0000-0000-000029000000}"/>
    <cellStyle name="Normal 35 2 2" xfId="21" xr:uid="{00000000-0005-0000-0000-00002A000000}"/>
    <cellStyle name="Normal 35 3" xfId="55" xr:uid="{9AA92112-2D1C-476C-AA38-6FDC44AA4C5B}"/>
    <cellStyle name="Normal 4" xfId="49" xr:uid="{65A98ED1-B918-4FC2-BDFA-4E5C5CDE9D40}"/>
    <cellStyle name="Normal 5" xfId="52" xr:uid="{33594EB6-9206-40C3-AEA3-812C4C0F6EB0}"/>
    <cellStyle name="Output" xfId="5" builtinId="21"/>
    <cellStyle name="Percent" xfId="3" builtinId="5"/>
    <cellStyle name="Percent 2" xfId="10" xr:uid="{00000000-0005-0000-0000-00002D000000}"/>
    <cellStyle name="Percent 2 2" xfId="15" xr:uid="{00000000-0005-0000-0000-00002E000000}"/>
    <cellStyle name="Percent 3" xfId="51" xr:uid="{789690B1-A6AF-4875-A797-0BE537A1AF98}"/>
    <cellStyle name="Percent 4" xfId="54" xr:uid="{173732A5-B139-4BBF-81E2-CCED101767A6}"/>
  </cellStyles>
  <dxfs count="41">
    <dxf>
      <numFmt numFmtId="13" formatCode="0%"/>
    </dxf>
    <dxf>
      <numFmt numFmtId="2" formatCode="0.00"/>
    </dxf>
    <dxf>
      <numFmt numFmtId="13" formatCode="0%"/>
    </dxf>
    <dxf>
      <numFmt numFmtId="2" formatCode="0.00"/>
    </dxf>
    <dxf>
      <font>
        <b val="0"/>
        <i val="0"/>
        <strike val="0"/>
        <condense val="0"/>
        <extend val="0"/>
        <outline val="0"/>
        <shadow val="0"/>
        <u val="none"/>
        <vertAlign val="baseline"/>
        <sz val="10"/>
        <color theme="1"/>
        <name val="Calibri"/>
        <scheme val="minor"/>
      </font>
      <numFmt numFmtId="166" formatCode="_(* #,##0_);_(* \(#,##0\);_(* &quot;-&quot;??_);_(@_)"/>
    </dxf>
    <dxf>
      <font>
        <b val="0"/>
        <i val="0"/>
        <strike val="0"/>
        <condense val="0"/>
        <extend val="0"/>
        <outline val="0"/>
        <shadow val="0"/>
        <u val="none"/>
        <vertAlign val="baseline"/>
        <sz val="10"/>
        <color theme="1"/>
        <name val="Calibri"/>
        <scheme val="minor"/>
      </font>
      <numFmt numFmtId="166" formatCode="_(* #,##0_);_(* \(#,##0\);_(* &quot;-&quot;??_);_(@_)"/>
    </dxf>
    <dxf>
      <font>
        <b val="0"/>
        <i val="0"/>
        <strike val="0"/>
        <condense val="0"/>
        <extend val="0"/>
        <outline val="0"/>
        <shadow val="0"/>
        <u val="none"/>
        <vertAlign val="baseline"/>
        <sz val="10"/>
        <color theme="1"/>
        <name val="Calibri"/>
        <scheme val="minor"/>
      </font>
      <numFmt numFmtId="166" formatCode="_(* #,##0_);_(* \(#,##0\);_(* &quot;-&quot;??_);_(@_)"/>
    </dxf>
    <dxf>
      <font>
        <b val="0"/>
        <i val="0"/>
        <strike val="0"/>
        <condense val="0"/>
        <extend val="0"/>
        <outline val="0"/>
        <shadow val="0"/>
        <u val="none"/>
        <vertAlign val="baseline"/>
        <sz val="10"/>
        <color theme="1"/>
        <name val="Calibri"/>
        <scheme val="minor"/>
      </font>
      <numFmt numFmtId="166" formatCode="_(* #,##0_);_(* \(#,##0\);_(* &quot;-&quot;??_);_(@_)"/>
    </dxf>
    <dxf>
      <font>
        <b val="0"/>
        <i val="0"/>
        <strike val="0"/>
        <condense val="0"/>
        <extend val="0"/>
        <outline val="0"/>
        <shadow val="0"/>
        <u val="none"/>
        <vertAlign val="baseline"/>
        <sz val="10"/>
        <color theme="1"/>
        <name val="Calibri"/>
        <scheme val="minor"/>
      </font>
      <numFmt numFmtId="166" formatCode="_(* #,##0_);_(* \(#,##0\);_(* &quot;-&quot;??_);_(@_)"/>
    </dxf>
    <dxf>
      <font>
        <b val="0"/>
        <i val="0"/>
        <strike val="0"/>
        <condense val="0"/>
        <extend val="0"/>
        <outline val="0"/>
        <shadow val="0"/>
        <u val="none"/>
        <vertAlign val="baseline"/>
        <sz val="10"/>
        <color theme="1"/>
        <name val="Calibri"/>
        <scheme val="minor"/>
      </font>
      <numFmt numFmtId="166" formatCode="_(* #,##0_);_(* \(#,##0\);_(* &quot;-&quot;??_);_(@_)"/>
    </dxf>
    <dxf>
      <font>
        <b val="0"/>
        <i val="0"/>
        <strike val="0"/>
        <condense val="0"/>
        <extend val="0"/>
        <outline val="0"/>
        <shadow val="0"/>
        <u val="none"/>
        <vertAlign val="baseline"/>
        <sz val="10"/>
        <color theme="1"/>
        <name val="Calibri"/>
        <scheme val="minor"/>
      </font>
      <numFmt numFmtId="166" formatCode="_(* #,##0_);_(* \(#,##0\);_(* &quot;-&quot;??_);_(@_)"/>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family val="2"/>
        <scheme val="minor"/>
      </font>
      <numFmt numFmtId="2" formatCode="0.00"/>
      <fill>
        <patternFill patternType="none">
          <fgColor indexed="64"/>
          <bgColor indexed="65"/>
        </patternFill>
      </fill>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theme="1"/>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border diagonalUp="0" diagonalDown="0">
        <left/>
        <right/>
        <top style="thin">
          <color theme="4" tint="0.39997558519241921"/>
        </top>
        <bottom/>
        <vertical/>
        <horizontal/>
      </border>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theme="4" tint="0.39997558519241921"/>
        </top>
        <bottom/>
      </border>
    </dxf>
    <dxf>
      <border outline="0">
        <top style="thin">
          <color theme="4" tint="0.39997558519241921"/>
        </top>
      </border>
    </dxf>
    <dxf>
      <font>
        <b val="0"/>
        <i val="0"/>
        <strike val="0"/>
        <condense val="0"/>
        <extend val="0"/>
        <outline val="0"/>
        <shadow val="0"/>
        <u val="none"/>
        <vertAlign val="baseline"/>
        <sz val="10"/>
        <color theme="1"/>
        <name val="Calibri"/>
        <family val="2"/>
        <scheme val="minor"/>
      </font>
      <numFmt numFmtId="166" formatCode="_(* #,##0_);_(* \(#,##0\);_(* &quot;-&quot;??_);_(@_)"/>
    </dxf>
    <dxf>
      <font>
        <b val="0"/>
        <i val="0"/>
        <strike val="0"/>
        <condense val="0"/>
        <extend val="0"/>
        <outline val="0"/>
        <shadow val="0"/>
        <u val="none"/>
        <vertAlign val="baseline"/>
        <sz val="10"/>
        <color theme="1"/>
        <name val="Calibri"/>
        <family val="2"/>
        <scheme val="minor"/>
      </font>
      <numFmt numFmtId="166" formatCode="_(* #,##0_);_(* \(#,##0\);_(* &quot;-&quot;??_);_(@_)"/>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1"/>
        <color theme="1"/>
        <name val="Calibri"/>
        <family val="2"/>
        <scheme val="minor"/>
      </font>
      <numFmt numFmtId="166" formatCode="_(* #,##0_);_(* \(#,##0\);_(* &quot;-&quot;??_);_(@_)"/>
    </dxf>
    <dxf>
      <numFmt numFmtId="166" formatCode="_(* #,##0_);_(* \(#,##0\);_(* &quot;-&quot;??_);_(@_)"/>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66" formatCode="_(* #,##0_);_(* \(#,##0\);_(* &quot;-&quot;??_);_(@_)"/>
    </dxf>
    <dxf>
      <font>
        <b val="0"/>
        <i val="0"/>
        <strike val="0"/>
        <condense val="0"/>
        <extend val="0"/>
        <outline val="0"/>
        <shadow val="0"/>
        <u val="none"/>
        <vertAlign val="baseline"/>
        <sz val="11"/>
        <color theme="1"/>
        <name val="Calibri"/>
        <family val="2"/>
        <scheme val="minor"/>
      </font>
      <numFmt numFmtId="166" formatCode="_(* #,##0_);_(* \(#,##0\);_(* &quot;-&quot;??_);_(@_)"/>
    </dxf>
    <dxf>
      <font>
        <b val="0"/>
        <i val="0"/>
        <strike val="0"/>
        <condense val="0"/>
        <extend val="0"/>
        <outline val="0"/>
        <shadow val="0"/>
        <u val="none"/>
        <vertAlign val="baseline"/>
        <sz val="11"/>
        <color theme="1"/>
        <name val="Calibri"/>
        <family val="2"/>
        <scheme val="minor"/>
      </font>
      <numFmt numFmtId="166" formatCode="_(* #,##0_);_(* \(#,##0\);_(* &quot;-&quot;??_);_(@_)"/>
    </dxf>
    <dxf>
      <font>
        <b val="0"/>
        <i val="0"/>
        <strike val="0"/>
        <condense val="0"/>
        <extend val="0"/>
        <outline val="0"/>
        <shadow val="0"/>
        <u val="none"/>
        <vertAlign val="baseline"/>
        <sz val="11"/>
        <color theme="1"/>
        <name val="Calibri"/>
        <family val="2"/>
        <scheme val="minor"/>
      </font>
      <numFmt numFmtId="166" formatCode="_(* #,##0_);_(* \(#,##0\);_(* &quot;-&quot;??_);_(@_)"/>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06518"/>
      <color rgb="FF00B0F0"/>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Open Sans" panose="020B0606030504020204" pitchFamily="34" charset="0"/>
                <a:cs typeface="Open Sans" panose="020B0606030504020204" pitchFamily="34" charset="0"/>
              </a:defRPr>
            </a:pPr>
            <a:r>
              <a:rPr lang="en-AU" sz="1600" b="1">
                <a:solidFill>
                  <a:sysClr val="windowText" lastClr="000000"/>
                </a:solidFill>
                <a:latin typeface="+mn-lt"/>
              </a:rPr>
              <a:t>EdgeIQ - Annual</a:t>
            </a:r>
            <a:r>
              <a:rPr lang="en-AU" sz="1600" b="1" baseline="0">
                <a:solidFill>
                  <a:sysClr val="windowText" lastClr="000000"/>
                </a:solidFill>
                <a:latin typeface="+mn-lt"/>
              </a:rPr>
              <a:t> </a:t>
            </a:r>
            <a:r>
              <a:rPr lang="en-AU" sz="1600" b="1">
                <a:solidFill>
                  <a:sysClr val="windowText" lastClr="000000"/>
                </a:solidFill>
                <a:latin typeface="+mn-lt"/>
              </a:rPr>
              <a:t>Benefits</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Open Sans" panose="020B0606030504020204" pitchFamily="34" charset="0"/>
              <a:cs typeface="Open Sans" panose="020B0606030504020204" pitchFamily="34" charset="0"/>
            </a:defRPr>
          </a:pPr>
          <a:endParaRPr lang="en-US"/>
        </a:p>
      </c:txPr>
    </c:title>
    <c:autoTitleDeleted val="0"/>
    <c:plotArea>
      <c:layout/>
      <c:barChart>
        <c:barDir val="bar"/>
        <c:grouping val="stacked"/>
        <c:varyColors val="0"/>
        <c:ser>
          <c:idx val="0"/>
          <c:order val="0"/>
          <c:tx>
            <c:strRef>
              <c:f>Savings!$B$3</c:f>
              <c:strCache>
                <c:ptCount val="1"/>
                <c:pt idx="0">
                  <c:v>Energy Savings</c:v>
                </c:pt>
              </c:strCache>
            </c:strRef>
          </c:tx>
          <c:spPr>
            <a:solidFill>
              <a:srgbClr val="00B0F0"/>
            </a:solidFill>
            <a:ln>
              <a:noFill/>
            </a:ln>
            <a:effectLst/>
          </c:spPr>
          <c:invertIfNegative val="0"/>
          <c:dLbls>
            <c:dLbl>
              <c:idx val="0"/>
              <c:tx>
                <c:rich>
                  <a:bodyPr/>
                  <a:lstStyle/>
                  <a:p>
                    <a:fld id="{2EA9D331-2DF4-431C-8A02-3632E3F77C4B}" type="VALUE">
                      <a:rPr lang="en-US"/>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5CA-4529-B260-99429A04A5BC}"/>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Savings!$C$2</c:f>
              <c:strCache>
                <c:ptCount val="1"/>
                <c:pt idx="0">
                  <c:v>Annual</c:v>
                </c:pt>
              </c:strCache>
            </c:strRef>
          </c:cat>
          <c:val>
            <c:numRef>
              <c:f>Savings!$C$3</c:f>
              <c:numCache>
                <c:formatCode>"$"#,##0_);[Red]\("$"#,##0\)</c:formatCode>
                <c:ptCount val="1"/>
                <c:pt idx="0">
                  <c:v>200.06791759503704</c:v>
                </c:pt>
              </c:numCache>
            </c:numRef>
          </c:val>
          <c:extLst>
            <c:ext xmlns:c16="http://schemas.microsoft.com/office/drawing/2014/chart" uri="{C3380CC4-5D6E-409C-BE32-E72D297353CC}">
              <c16:uniqueId val="{00000001-75CA-4529-B260-99429A04A5BC}"/>
            </c:ext>
          </c:extLst>
        </c:ser>
        <c:ser>
          <c:idx val="1"/>
          <c:order val="1"/>
          <c:tx>
            <c:strRef>
              <c:f>Savings!$B$4</c:f>
              <c:strCache>
                <c:ptCount val="1"/>
                <c:pt idx="0">
                  <c:v>Solar Savings</c:v>
                </c:pt>
              </c:strCache>
            </c:strRef>
          </c:tx>
          <c:spPr>
            <a:solidFill>
              <a:srgbClr val="FFC000"/>
            </a:solidFill>
            <a:ln>
              <a:noFill/>
            </a:ln>
            <a:effectLst/>
          </c:spPr>
          <c:invertIfNegative val="0"/>
          <c:dLbls>
            <c:dLbl>
              <c:idx val="0"/>
              <c:tx>
                <c:rich>
                  <a:bodyPr/>
                  <a:lstStyle/>
                  <a:p>
                    <a:fld id="{5CF0DF5B-38CE-4C74-857B-A6D21FEF2A49}" type="VALUE">
                      <a:rPr lang="en-US"/>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5CA-4529-B260-99429A04A5BC}"/>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Savings!$C$2</c:f>
              <c:strCache>
                <c:ptCount val="1"/>
                <c:pt idx="0">
                  <c:v>Annual</c:v>
                </c:pt>
              </c:strCache>
            </c:strRef>
          </c:cat>
          <c:val>
            <c:numRef>
              <c:f>Savings!$C$4</c:f>
              <c:numCache>
                <c:formatCode>"$"#,##0_);[Red]\("$"#,##0\)</c:formatCode>
                <c:ptCount val="1"/>
                <c:pt idx="0">
                  <c:v>1397.0918000053443</c:v>
                </c:pt>
              </c:numCache>
            </c:numRef>
          </c:val>
          <c:extLst>
            <c:ext xmlns:c16="http://schemas.microsoft.com/office/drawing/2014/chart" uri="{C3380CC4-5D6E-409C-BE32-E72D297353CC}">
              <c16:uniqueId val="{00000003-75CA-4529-B260-99429A04A5BC}"/>
            </c:ext>
          </c:extLst>
        </c:ser>
        <c:ser>
          <c:idx val="3"/>
          <c:order val="2"/>
          <c:tx>
            <c:strRef>
              <c:f>Savings!$B$5</c:f>
              <c:strCache>
                <c:ptCount val="1"/>
                <c:pt idx="0">
                  <c:v>Appliance Protection</c:v>
                </c:pt>
              </c:strCache>
            </c:strRef>
          </c:tx>
          <c:spPr>
            <a:solidFill>
              <a:schemeClr val="accent2"/>
            </a:solidFill>
            <a:ln>
              <a:noFill/>
            </a:ln>
            <a:effectLst/>
          </c:spPr>
          <c:invertIfNegative val="0"/>
          <c:dLbls>
            <c:dLbl>
              <c:idx val="0"/>
              <c:tx>
                <c:rich>
                  <a:bodyPr/>
                  <a:lstStyle/>
                  <a:p>
                    <a:fld id="{7B5356EE-27BC-422D-A504-9B01B51C3ABE}" type="VALUE">
                      <a:rPr lang="en-US"/>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75CA-4529-B260-99429A04A5BC}"/>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Savings!$C$2</c:f>
              <c:strCache>
                <c:ptCount val="1"/>
                <c:pt idx="0">
                  <c:v>Annual</c:v>
                </c:pt>
              </c:strCache>
            </c:strRef>
          </c:cat>
          <c:val>
            <c:numRef>
              <c:f>Savings!$C$5</c:f>
              <c:numCache>
                <c:formatCode>"$"#,##0_);[Red]\("$"#,##0\)</c:formatCode>
                <c:ptCount val="1"/>
                <c:pt idx="0">
                  <c:v>411.92030999881808</c:v>
                </c:pt>
              </c:numCache>
            </c:numRef>
          </c:val>
          <c:extLst>
            <c:ext xmlns:c16="http://schemas.microsoft.com/office/drawing/2014/chart" uri="{C3380CC4-5D6E-409C-BE32-E72D297353CC}">
              <c16:uniqueId val="{00000005-75CA-4529-B260-99429A04A5BC}"/>
            </c:ext>
          </c:extLst>
        </c:ser>
        <c:ser>
          <c:idx val="4"/>
          <c:order val="3"/>
          <c:tx>
            <c:strRef>
              <c:f>Savings!$B$6</c:f>
              <c:strCache>
                <c:ptCount val="1"/>
                <c:pt idx="0">
                  <c:v>Surge Protection</c:v>
                </c:pt>
              </c:strCache>
            </c:strRef>
          </c:tx>
          <c:spPr>
            <a:solidFill>
              <a:schemeClr val="bg1">
                <a:lumMod val="65000"/>
              </a:schemeClr>
            </a:solidFill>
            <a:ln>
              <a:noFill/>
            </a:ln>
            <a:effectLst/>
          </c:spPr>
          <c:invertIfNegative val="0"/>
          <c:dLbls>
            <c:dLbl>
              <c:idx val="0"/>
              <c:tx>
                <c:rich>
                  <a:bodyPr/>
                  <a:lstStyle/>
                  <a:p>
                    <a:fld id="{2B742448-384E-4BFB-9674-99FDF1B619F3}" type="VALUE">
                      <a:rPr lang="en-US"/>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75CA-4529-B260-99429A04A5BC}"/>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Savings!$C$2</c:f>
              <c:strCache>
                <c:ptCount val="1"/>
                <c:pt idx="0">
                  <c:v>Annual</c:v>
                </c:pt>
              </c:strCache>
            </c:strRef>
          </c:cat>
          <c:val>
            <c:numRef>
              <c:f>Savings!$C$6</c:f>
              <c:numCache>
                <c:formatCode>"$"#,##0_);[Red]\("$"#,##0\)</c:formatCode>
                <c:ptCount val="1"/>
                <c:pt idx="0">
                  <c:v>100</c:v>
                </c:pt>
              </c:numCache>
            </c:numRef>
          </c:val>
          <c:extLst>
            <c:ext xmlns:c16="http://schemas.microsoft.com/office/drawing/2014/chart" uri="{C3380CC4-5D6E-409C-BE32-E72D297353CC}">
              <c16:uniqueId val="{00000007-75CA-4529-B260-99429A04A5BC}"/>
            </c:ext>
          </c:extLst>
        </c:ser>
        <c:dLbls>
          <c:dLblPos val="ctr"/>
          <c:showLegendKey val="0"/>
          <c:showVal val="1"/>
          <c:showCatName val="0"/>
          <c:showSerName val="0"/>
          <c:showPercent val="0"/>
          <c:showBubbleSize val="0"/>
        </c:dLbls>
        <c:gapWidth val="36"/>
        <c:overlap val="100"/>
        <c:axId val="543410095"/>
        <c:axId val="626961391"/>
        <c:extLst/>
      </c:barChart>
      <c:catAx>
        <c:axId val="543410095"/>
        <c:scaling>
          <c:orientation val="minMax"/>
        </c:scaling>
        <c:delete val="1"/>
        <c:axPos val="l"/>
        <c:numFmt formatCode="General" sourceLinked="1"/>
        <c:majorTickMark val="none"/>
        <c:minorTickMark val="none"/>
        <c:tickLblPos val="nextTo"/>
        <c:crossAx val="626961391"/>
        <c:crosses val="autoZero"/>
        <c:auto val="1"/>
        <c:lblAlgn val="ctr"/>
        <c:lblOffset val="100"/>
        <c:noMultiLvlLbl val="0"/>
      </c:catAx>
      <c:valAx>
        <c:axId val="626961391"/>
        <c:scaling>
          <c:orientation val="minMax"/>
        </c:scaling>
        <c:delete val="0"/>
        <c:axPos val="b"/>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5434100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DRM!$C$2</c:f>
              <c:strCache>
                <c:ptCount val="1"/>
                <c:pt idx="0">
                  <c:v>Power</c:v>
                </c:pt>
              </c:strCache>
            </c:strRef>
          </c:tx>
          <c:spPr>
            <a:ln w="28575" cap="rnd">
              <a:solidFill>
                <a:schemeClr val="accent1"/>
              </a:solidFill>
              <a:round/>
            </a:ln>
            <a:effectLst/>
          </c:spPr>
          <c:marker>
            <c:symbol val="none"/>
          </c:marker>
          <c:cat>
            <c:numRef>
              <c:f>DRM!$B$3:$B$68</c:f>
              <c:numCache>
                <c:formatCode>0.00</c:formatCode>
                <c:ptCount val="66"/>
                <c:pt idx="0">
                  <c:v>265</c:v>
                </c:pt>
                <c:pt idx="1">
                  <c:v>264</c:v>
                </c:pt>
                <c:pt idx="2">
                  <c:v>263</c:v>
                </c:pt>
                <c:pt idx="3">
                  <c:v>262</c:v>
                </c:pt>
                <c:pt idx="4">
                  <c:v>261</c:v>
                </c:pt>
                <c:pt idx="5">
                  <c:v>260</c:v>
                </c:pt>
                <c:pt idx="6">
                  <c:v>259</c:v>
                </c:pt>
                <c:pt idx="7">
                  <c:v>258</c:v>
                </c:pt>
                <c:pt idx="8">
                  <c:v>257</c:v>
                </c:pt>
                <c:pt idx="9">
                  <c:v>256</c:v>
                </c:pt>
                <c:pt idx="10">
                  <c:v>255</c:v>
                </c:pt>
                <c:pt idx="11">
                  <c:v>254</c:v>
                </c:pt>
                <c:pt idx="12">
                  <c:v>253</c:v>
                </c:pt>
                <c:pt idx="13">
                  <c:v>252</c:v>
                </c:pt>
                <c:pt idx="14">
                  <c:v>251</c:v>
                </c:pt>
                <c:pt idx="15">
                  <c:v>250</c:v>
                </c:pt>
                <c:pt idx="16">
                  <c:v>249</c:v>
                </c:pt>
                <c:pt idx="17">
                  <c:v>248</c:v>
                </c:pt>
                <c:pt idx="18">
                  <c:v>247</c:v>
                </c:pt>
                <c:pt idx="19">
                  <c:v>246</c:v>
                </c:pt>
                <c:pt idx="20">
                  <c:v>245</c:v>
                </c:pt>
                <c:pt idx="21">
                  <c:v>244</c:v>
                </c:pt>
                <c:pt idx="22">
                  <c:v>243</c:v>
                </c:pt>
                <c:pt idx="23">
                  <c:v>242</c:v>
                </c:pt>
                <c:pt idx="24">
                  <c:v>241</c:v>
                </c:pt>
                <c:pt idx="25">
                  <c:v>240</c:v>
                </c:pt>
                <c:pt idx="26">
                  <c:v>239</c:v>
                </c:pt>
                <c:pt idx="27">
                  <c:v>238</c:v>
                </c:pt>
                <c:pt idx="28">
                  <c:v>237</c:v>
                </c:pt>
                <c:pt idx="29">
                  <c:v>236</c:v>
                </c:pt>
                <c:pt idx="30">
                  <c:v>235</c:v>
                </c:pt>
                <c:pt idx="31">
                  <c:v>234</c:v>
                </c:pt>
                <c:pt idx="32">
                  <c:v>233</c:v>
                </c:pt>
                <c:pt idx="33">
                  <c:v>232</c:v>
                </c:pt>
                <c:pt idx="34">
                  <c:v>231</c:v>
                </c:pt>
                <c:pt idx="35">
                  <c:v>230</c:v>
                </c:pt>
                <c:pt idx="36">
                  <c:v>229</c:v>
                </c:pt>
                <c:pt idx="37">
                  <c:v>228</c:v>
                </c:pt>
                <c:pt idx="38">
                  <c:v>227</c:v>
                </c:pt>
                <c:pt idx="39">
                  <c:v>226</c:v>
                </c:pt>
                <c:pt idx="40">
                  <c:v>225</c:v>
                </c:pt>
                <c:pt idx="41">
                  <c:v>224</c:v>
                </c:pt>
                <c:pt idx="42">
                  <c:v>223</c:v>
                </c:pt>
                <c:pt idx="43">
                  <c:v>222</c:v>
                </c:pt>
                <c:pt idx="44">
                  <c:v>221</c:v>
                </c:pt>
                <c:pt idx="45">
                  <c:v>220</c:v>
                </c:pt>
                <c:pt idx="46">
                  <c:v>219</c:v>
                </c:pt>
                <c:pt idx="47">
                  <c:v>218</c:v>
                </c:pt>
                <c:pt idx="48">
                  <c:v>217</c:v>
                </c:pt>
                <c:pt idx="49">
                  <c:v>216</c:v>
                </c:pt>
                <c:pt idx="50">
                  <c:v>215</c:v>
                </c:pt>
                <c:pt idx="51">
                  <c:v>214</c:v>
                </c:pt>
                <c:pt idx="52">
                  <c:v>213</c:v>
                </c:pt>
                <c:pt idx="53">
                  <c:v>212</c:v>
                </c:pt>
                <c:pt idx="54">
                  <c:v>211</c:v>
                </c:pt>
                <c:pt idx="55">
                  <c:v>210</c:v>
                </c:pt>
                <c:pt idx="56">
                  <c:v>209</c:v>
                </c:pt>
                <c:pt idx="57">
                  <c:v>208</c:v>
                </c:pt>
                <c:pt idx="58">
                  <c:v>207</c:v>
                </c:pt>
                <c:pt idx="59">
                  <c:v>206</c:v>
                </c:pt>
                <c:pt idx="60">
                  <c:v>205</c:v>
                </c:pt>
                <c:pt idx="61">
                  <c:v>204</c:v>
                </c:pt>
                <c:pt idx="62">
                  <c:v>203</c:v>
                </c:pt>
                <c:pt idx="63">
                  <c:v>202</c:v>
                </c:pt>
                <c:pt idx="64">
                  <c:v>201</c:v>
                </c:pt>
                <c:pt idx="65">
                  <c:v>200</c:v>
                </c:pt>
              </c:numCache>
            </c:numRef>
          </c:cat>
          <c:val>
            <c:numRef>
              <c:f>DRM!$C$3:$C$68</c:f>
              <c:numCache>
                <c:formatCode>0%</c:formatCode>
                <c:ptCount val="66"/>
                <c:pt idx="0">
                  <c:v>0.2</c:v>
                </c:pt>
                <c:pt idx="1">
                  <c:v>0.2533333333333333</c:v>
                </c:pt>
                <c:pt idx="2">
                  <c:v>0.30666666666666664</c:v>
                </c:pt>
                <c:pt idx="3">
                  <c:v>0.35999999999999988</c:v>
                </c:pt>
                <c:pt idx="4">
                  <c:v>0.41333333333333333</c:v>
                </c:pt>
                <c:pt idx="5">
                  <c:v>0.46666666666666667</c:v>
                </c:pt>
                <c:pt idx="6">
                  <c:v>0.52</c:v>
                </c:pt>
                <c:pt idx="7">
                  <c:v>0.57333333333333325</c:v>
                </c:pt>
                <c:pt idx="8">
                  <c:v>0.62666666666666671</c:v>
                </c:pt>
                <c:pt idx="9">
                  <c:v>0.67999999999999994</c:v>
                </c:pt>
                <c:pt idx="10">
                  <c:v>0.73333333333333339</c:v>
                </c:pt>
                <c:pt idx="11">
                  <c:v>0.78666666666666663</c:v>
                </c:pt>
                <c:pt idx="12">
                  <c:v>0.84</c:v>
                </c:pt>
                <c:pt idx="13">
                  <c:v>0.89333333333333331</c:v>
                </c:pt>
                <c:pt idx="14">
                  <c:v>0.94666666666666666</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numCache>
            </c:numRef>
          </c:val>
          <c:smooth val="0"/>
          <c:extLst>
            <c:ext xmlns:c16="http://schemas.microsoft.com/office/drawing/2014/chart" uri="{C3380CC4-5D6E-409C-BE32-E72D297353CC}">
              <c16:uniqueId val="{00000000-57C6-4E9B-B789-2CC5BEE01E01}"/>
            </c:ext>
          </c:extLst>
        </c:ser>
        <c:dLbls>
          <c:showLegendKey val="0"/>
          <c:showVal val="0"/>
          <c:showCatName val="0"/>
          <c:showSerName val="0"/>
          <c:showPercent val="0"/>
          <c:showBubbleSize val="0"/>
        </c:dLbls>
        <c:smooth val="0"/>
        <c:axId val="101317391"/>
        <c:axId val="392338431"/>
      </c:lineChart>
      <c:catAx>
        <c:axId val="101317391"/>
        <c:scaling>
          <c:orientation val="minMax"/>
        </c:scaling>
        <c:delete val="0"/>
        <c:axPos val="b"/>
        <c:numFmt formatCode="0.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338431"/>
        <c:crosses val="autoZero"/>
        <c:auto val="1"/>
        <c:lblAlgn val="ctr"/>
        <c:lblOffset val="100"/>
        <c:noMultiLvlLbl val="0"/>
      </c:catAx>
      <c:valAx>
        <c:axId val="3923384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31739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sz="1400" b="1">
                <a:solidFill>
                  <a:sysClr val="windowText" lastClr="000000"/>
                </a:solidFill>
              </a:rPr>
              <a:t>Daily Power - W</a:t>
            </a:r>
            <a:r>
              <a:rPr lang="en-AU" sz="1400" b="1" baseline="0">
                <a:solidFill>
                  <a:sysClr val="windowText" lastClr="000000"/>
                </a:solidFill>
              </a:rPr>
              <a:t>ith EdgeIQ</a:t>
            </a:r>
            <a:endParaRPr lang="en-AU" sz="1400" b="1">
              <a:solidFill>
                <a:sysClr val="windowText" lastClr="000000"/>
              </a:solidFill>
            </a:endParaRPr>
          </a:p>
        </c:rich>
      </c:tx>
      <c:layout>
        <c:manualLayout>
          <c:xMode val="edge"/>
          <c:yMode val="edge"/>
          <c:x val="0.37517729538069683"/>
          <c:y val="3.4978989299964319E-2"/>
        </c:manualLayout>
      </c:layout>
      <c:overlay val="0"/>
      <c:spPr>
        <a:noFill/>
        <a:ln>
          <a:noFill/>
        </a:ln>
        <a:effectLst/>
      </c:spPr>
    </c:title>
    <c:autoTitleDeleted val="0"/>
    <c:plotArea>
      <c:layout/>
      <c:lineChart>
        <c:grouping val="standard"/>
        <c:varyColors val="0"/>
        <c:ser>
          <c:idx val="2"/>
          <c:order val="0"/>
          <c:tx>
            <c:v>Total consumption</c:v>
          </c:tx>
          <c:spPr>
            <a:ln>
              <a:solidFill>
                <a:schemeClr val="tx1"/>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Flows'!$K$144:$K$167</c:f>
              <c:numCache>
                <c:formatCode>0.00</c:formatCode>
                <c:ptCount val="24"/>
                <c:pt idx="0">
                  <c:v>0.23881298664393297</c:v>
                </c:pt>
                <c:pt idx="1">
                  <c:v>0.23881298664393297</c:v>
                </c:pt>
                <c:pt idx="2">
                  <c:v>0.23881298664393297</c:v>
                </c:pt>
                <c:pt idx="3">
                  <c:v>0.23881298664393297</c:v>
                </c:pt>
                <c:pt idx="4">
                  <c:v>0.23881298664393297</c:v>
                </c:pt>
                <c:pt idx="5">
                  <c:v>0.24050667926906114</c:v>
                </c:pt>
                <c:pt idx="6">
                  <c:v>2.249836520434946</c:v>
                </c:pt>
                <c:pt idx="7">
                  <c:v>2.6903014005602244</c:v>
                </c:pt>
                <c:pt idx="8">
                  <c:v>0.67950911663634539</c:v>
                </c:pt>
                <c:pt idx="9">
                  <c:v>0.46097113526570055</c:v>
                </c:pt>
                <c:pt idx="10">
                  <c:v>0.45612078993055566</c:v>
                </c:pt>
                <c:pt idx="11">
                  <c:v>0.45452917207090365</c:v>
                </c:pt>
                <c:pt idx="12">
                  <c:v>0.45452917207090365</c:v>
                </c:pt>
                <c:pt idx="13">
                  <c:v>0.45452917207090365</c:v>
                </c:pt>
                <c:pt idx="14">
                  <c:v>0.45612078993055566</c:v>
                </c:pt>
                <c:pt idx="15">
                  <c:v>0.45612078993055566</c:v>
                </c:pt>
                <c:pt idx="16">
                  <c:v>1.1209589169000937</c:v>
                </c:pt>
                <c:pt idx="17">
                  <c:v>1.7998692163479568</c:v>
                </c:pt>
                <c:pt idx="18">
                  <c:v>2.6998038245219349</c:v>
                </c:pt>
                <c:pt idx="19">
                  <c:v>2.6903014005602244</c:v>
                </c:pt>
                <c:pt idx="20">
                  <c:v>1.7935342670401497</c:v>
                </c:pt>
                <c:pt idx="21">
                  <c:v>1.3451507002801122</c:v>
                </c:pt>
                <c:pt idx="22">
                  <c:v>0.67950911663634539</c:v>
                </c:pt>
                <c:pt idx="23">
                  <c:v>0.23881298664393297</c:v>
                </c:pt>
              </c:numCache>
            </c:numRef>
          </c:val>
          <c:smooth val="1"/>
          <c:extLst>
            <c:ext xmlns:c16="http://schemas.microsoft.com/office/drawing/2014/chart" uri="{C3380CC4-5D6E-409C-BE32-E72D297353CC}">
              <c16:uniqueId val="{00000000-C5D7-4DDF-9EF1-FA6F9DE10C7D}"/>
            </c:ext>
          </c:extLst>
        </c:ser>
        <c:ser>
          <c:idx val="4"/>
          <c:order val="1"/>
          <c:tx>
            <c:strRef>
              <c:f>'Power Flows'!$U$141</c:f>
              <c:strCache>
                <c:ptCount val="1"/>
                <c:pt idx="0">
                  <c:v>Grid consumption</c:v>
                </c:pt>
              </c:strCache>
            </c:strRef>
          </c:tx>
          <c:spPr>
            <a:ln>
              <a:solidFill>
                <a:srgbClr val="00B0F0"/>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Flows'!$U$144:$U$167</c:f>
              <c:numCache>
                <c:formatCode>0.00</c:formatCode>
                <c:ptCount val="24"/>
                <c:pt idx="0">
                  <c:v>0.23881298664393297</c:v>
                </c:pt>
                <c:pt idx="1">
                  <c:v>0.23881298664393297</c:v>
                </c:pt>
                <c:pt idx="2">
                  <c:v>0.23881298664393297</c:v>
                </c:pt>
                <c:pt idx="3">
                  <c:v>0.23881298664393297</c:v>
                </c:pt>
                <c:pt idx="4">
                  <c:v>0.23881298664393297</c:v>
                </c:pt>
                <c:pt idx="5">
                  <c:v>0.24050667926906114</c:v>
                </c:pt>
                <c:pt idx="6">
                  <c:v>2.249836520434946</c:v>
                </c:pt>
                <c:pt idx="7">
                  <c:v>2.0179152096120907</c:v>
                </c:pt>
                <c:pt idx="8">
                  <c:v>0</c:v>
                </c:pt>
                <c:pt idx="9">
                  <c:v>0</c:v>
                </c:pt>
                <c:pt idx="10">
                  <c:v>0</c:v>
                </c:pt>
                <c:pt idx="11">
                  <c:v>0</c:v>
                </c:pt>
                <c:pt idx="12">
                  <c:v>0</c:v>
                </c:pt>
                <c:pt idx="13">
                  <c:v>0</c:v>
                </c:pt>
                <c:pt idx="14">
                  <c:v>0</c:v>
                </c:pt>
                <c:pt idx="15">
                  <c:v>0</c:v>
                </c:pt>
                <c:pt idx="16">
                  <c:v>0</c:v>
                </c:pt>
                <c:pt idx="17">
                  <c:v>0.28700028671465683</c:v>
                </c:pt>
                <c:pt idx="18">
                  <c:v>2.0274176335738012</c:v>
                </c:pt>
                <c:pt idx="19">
                  <c:v>2.6903014005602244</c:v>
                </c:pt>
                <c:pt idx="20">
                  <c:v>1.7935342670401497</c:v>
                </c:pt>
                <c:pt idx="21">
                  <c:v>1.3451507002801122</c:v>
                </c:pt>
                <c:pt idx="22">
                  <c:v>0.67950911663634539</c:v>
                </c:pt>
                <c:pt idx="23">
                  <c:v>0.23881298664393297</c:v>
                </c:pt>
              </c:numCache>
            </c:numRef>
          </c:val>
          <c:smooth val="1"/>
          <c:extLst>
            <c:ext xmlns:c16="http://schemas.microsoft.com/office/drawing/2014/chart" uri="{C3380CC4-5D6E-409C-BE32-E72D297353CC}">
              <c16:uniqueId val="{00000001-C5D7-4DDF-9EF1-FA6F9DE10C7D}"/>
            </c:ext>
          </c:extLst>
        </c:ser>
        <c:ser>
          <c:idx val="0"/>
          <c:order val="2"/>
          <c:tx>
            <c:strRef>
              <c:f>'Power Flows'!$T$141</c:f>
              <c:strCache>
                <c:ptCount val="1"/>
                <c:pt idx="0">
                  <c:v>Solar generation</c:v>
                </c:pt>
              </c:strCache>
            </c:strRef>
          </c:tx>
          <c:spPr>
            <a:ln>
              <a:solidFill>
                <a:schemeClr val="accent4"/>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Flows'!$T$144:$T$167</c:f>
              <c:numCache>
                <c:formatCode>0.00</c:formatCode>
                <c:ptCount val="24"/>
                <c:pt idx="0">
                  <c:v>0</c:v>
                </c:pt>
                <c:pt idx="1">
                  <c:v>0</c:v>
                </c:pt>
                <c:pt idx="2">
                  <c:v>0</c:v>
                </c:pt>
                <c:pt idx="3">
                  <c:v>0</c:v>
                </c:pt>
                <c:pt idx="4">
                  <c:v>0</c:v>
                </c:pt>
                <c:pt idx="5">
                  <c:v>0</c:v>
                </c:pt>
                <c:pt idx="6">
                  <c:v>0</c:v>
                </c:pt>
                <c:pt idx="7">
                  <c:v>0.67238619094813346</c:v>
                </c:pt>
                <c:pt idx="8">
                  <c:v>1.5128689296333</c:v>
                </c:pt>
                <c:pt idx="9">
                  <c:v>2.6895447637925338</c:v>
                </c:pt>
                <c:pt idx="10">
                  <c:v>3.6981240502147341</c:v>
                </c:pt>
                <c:pt idx="11">
                  <c:v>4.0343171456888012</c:v>
                </c:pt>
                <c:pt idx="12">
                  <c:v>4.202413693425834</c:v>
                </c:pt>
                <c:pt idx="13">
                  <c:v>4.202413693425834</c:v>
                </c:pt>
                <c:pt idx="14">
                  <c:v>4.0343171456888012</c:v>
                </c:pt>
                <c:pt idx="15">
                  <c:v>3.6981240502147341</c:v>
                </c:pt>
                <c:pt idx="16">
                  <c:v>2.6895447637925338</c:v>
                </c:pt>
                <c:pt idx="17">
                  <c:v>1.5128689296333</c:v>
                </c:pt>
                <c:pt idx="18">
                  <c:v>0.67238619094813346</c:v>
                </c:pt>
                <c:pt idx="19">
                  <c:v>0</c:v>
                </c:pt>
                <c:pt idx="20">
                  <c:v>0</c:v>
                </c:pt>
                <c:pt idx="21">
                  <c:v>0</c:v>
                </c:pt>
                <c:pt idx="22">
                  <c:v>0</c:v>
                </c:pt>
                <c:pt idx="23">
                  <c:v>0</c:v>
                </c:pt>
              </c:numCache>
            </c:numRef>
          </c:val>
          <c:smooth val="1"/>
          <c:extLst>
            <c:ext xmlns:c16="http://schemas.microsoft.com/office/drawing/2014/chart" uri="{C3380CC4-5D6E-409C-BE32-E72D297353CC}">
              <c16:uniqueId val="{00000002-C5D7-4DDF-9EF1-FA6F9DE10C7D}"/>
            </c:ext>
          </c:extLst>
        </c:ser>
        <c:ser>
          <c:idx val="1"/>
          <c:order val="3"/>
          <c:tx>
            <c:strRef>
              <c:f>'Power Flows'!$V$141</c:f>
              <c:strCache>
                <c:ptCount val="1"/>
                <c:pt idx="0">
                  <c:v>Solar export</c:v>
                </c:pt>
              </c:strCache>
            </c:strRef>
          </c:tx>
          <c:spPr>
            <a:ln>
              <a:solidFill>
                <a:srgbClr val="FF0000"/>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Flows'!$V$144:$V$167</c:f>
              <c:numCache>
                <c:formatCode>0.00</c:formatCode>
                <c:ptCount val="24"/>
                <c:pt idx="0">
                  <c:v>0</c:v>
                </c:pt>
                <c:pt idx="1">
                  <c:v>0</c:v>
                </c:pt>
                <c:pt idx="2">
                  <c:v>0</c:v>
                </c:pt>
                <c:pt idx="3">
                  <c:v>0</c:v>
                </c:pt>
                <c:pt idx="4">
                  <c:v>0</c:v>
                </c:pt>
                <c:pt idx="5">
                  <c:v>0</c:v>
                </c:pt>
                <c:pt idx="6">
                  <c:v>0</c:v>
                </c:pt>
                <c:pt idx="7">
                  <c:v>0</c:v>
                </c:pt>
                <c:pt idx="8">
                  <c:v>0.83335981299695461</c:v>
                </c:pt>
                <c:pt idx="9">
                  <c:v>2.2285736285268332</c:v>
                </c:pt>
                <c:pt idx="10">
                  <c:v>3.2420032602841786</c:v>
                </c:pt>
                <c:pt idx="11">
                  <c:v>3.5797879736178975</c:v>
                </c:pt>
                <c:pt idx="12">
                  <c:v>3.7478845213549303</c:v>
                </c:pt>
                <c:pt idx="13">
                  <c:v>3.7478845213549303</c:v>
                </c:pt>
                <c:pt idx="14">
                  <c:v>3.5781963557582457</c:v>
                </c:pt>
                <c:pt idx="15">
                  <c:v>3.2420032602841786</c:v>
                </c:pt>
                <c:pt idx="16">
                  <c:v>1.5685858468924401</c:v>
                </c:pt>
                <c:pt idx="17">
                  <c:v>0</c:v>
                </c:pt>
                <c:pt idx="18">
                  <c:v>0</c:v>
                </c:pt>
                <c:pt idx="19">
                  <c:v>0</c:v>
                </c:pt>
                <c:pt idx="20">
                  <c:v>0</c:v>
                </c:pt>
                <c:pt idx="21">
                  <c:v>0</c:v>
                </c:pt>
                <c:pt idx="22">
                  <c:v>0</c:v>
                </c:pt>
                <c:pt idx="23">
                  <c:v>0</c:v>
                </c:pt>
              </c:numCache>
            </c:numRef>
          </c:val>
          <c:smooth val="1"/>
          <c:extLst>
            <c:ext xmlns:c16="http://schemas.microsoft.com/office/drawing/2014/chart" uri="{C3380CC4-5D6E-409C-BE32-E72D297353CC}">
              <c16:uniqueId val="{00000003-C5D7-4DDF-9EF1-FA6F9DE10C7D}"/>
            </c:ext>
          </c:extLst>
        </c:ser>
        <c:dLbls>
          <c:showLegendKey val="0"/>
          <c:showVal val="0"/>
          <c:showCatName val="0"/>
          <c:showSerName val="0"/>
          <c:showPercent val="0"/>
          <c:showBubbleSize val="0"/>
        </c:dLbls>
        <c:marker val="1"/>
        <c:smooth val="0"/>
        <c:axId val="-1362873136"/>
        <c:axId val="-1398745936"/>
      </c:lineChart>
      <c:lineChart>
        <c:grouping val="standard"/>
        <c:varyColors val="0"/>
        <c:ser>
          <c:idx val="5"/>
          <c:order val="4"/>
          <c:tx>
            <c:v>Grid Voltage</c:v>
          </c:tx>
          <c:spPr>
            <a:ln>
              <a:solidFill>
                <a:srgbClr val="00B050"/>
              </a:solidFill>
            </a:ln>
          </c:spPr>
          <c:marker>
            <c:symbol val="none"/>
          </c:marker>
          <c:val>
            <c:numRef>
              <c:f>Profiles!$E$32:$E$55</c:f>
              <c:numCache>
                <c:formatCode>0.0</c:formatCode>
                <c:ptCount val="24"/>
                <c:pt idx="0">
                  <c:v>255</c:v>
                </c:pt>
                <c:pt idx="1">
                  <c:v>255</c:v>
                </c:pt>
                <c:pt idx="2">
                  <c:v>255</c:v>
                </c:pt>
                <c:pt idx="3">
                  <c:v>255</c:v>
                </c:pt>
                <c:pt idx="4">
                  <c:v>255</c:v>
                </c:pt>
                <c:pt idx="5">
                  <c:v>253</c:v>
                </c:pt>
                <c:pt idx="6">
                  <c:v>254</c:v>
                </c:pt>
                <c:pt idx="7">
                  <c:v>255</c:v>
                </c:pt>
                <c:pt idx="8">
                  <c:v>255</c:v>
                </c:pt>
                <c:pt idx="9">
                  <c:v>253</c:v>
                </c:pt>
                <c:pt idx="10">
                  <c:v>256</c:v>
                </c:pt>
                <c:pt idx="11">
                  <c:v>257</c:v>
                </c:pt>
                <c:pt idx="12">
                  <c:v>257</c:v>
                </c:pt>
                <c:pt idx="13">
                  <c:v>257</c:v>
                </c:pt>
                <c:pt idx="14">
                  <c:v>256</c:v>
                </c:pt>
                <c:pt idx="15">
                  <c:v>256</c:v>
                </c:pt>
                <c:pt idx="16">
                  <c:v>255</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4-C5D7-4DDF-9EF1-FA6F9DE10C7D}"/>
            </c:ext>
          </c:extLst>
        </c:ser>
        <c:ser>
          <c:idx val="3"/>
          <c:order val="5"/>
          <c:tx>
            <c:v>EIQ Voltage</c:v>
          </c:tx>
          <c:spPr>
            <a:ln>
              <a:solidFill>
                <a:srgbClr val="7030A0"/>
              </a:solidFill>
            </a:ln>
          </c:spPr>
          <c:marker>
            <c:symbol val="none"/>
          </c:marker>
          <c:val>
            <c:numRef>
              <c:f>Profiles!$Q$4:$Q$26</c:f>
              <c:numCache>
                <c:formatCode>General</c:formatCode>
                <c:ptCount val="23"/>
              </c:numCache>
            </c:numRef>
          </c:val>
          <c:smooth val="1"/>
          <c:extLst>
            <c:ext xmlns:c16="http://schemas.microsoft.com/office/drawing/2014/chart" uri="{C3380CC4-5D6E-409C-BE32-E72D297353CC}">
              <c16:uniqueId val="{00000005-C5D7-4DDF-9EF1-FA6F9DE10C7D}"/>
            </c:ext>
          </c:extLst>
        </c:ser>
        <c:ser>
          <c:idx val="6"/>
          <c:order val="6"/>
          <c:tx>
            <c:v>Inverter Voltage</c:v>
          </c:tx>
          <c:spPr>
            <a:ln>
              <a:solidFill>
                <a:srgbClr val="00B050">
                  <a:alpha val="50000"/>
                </a:srgbClr>
              </a:solidFill>
            </a:ln>
          </c:spPr>
          <c:marker>
            <c:symbol val="none"/>
          </c:marker>
          <c:val>
            <c:numRef>
              <c:f>'Power Flows'!$Z$23:$Z$46</c:f>
              <c:numCache>
                <c:formatCode>0</c:formatCode>
                <c:ptCount val="24"/>
                <c:pt idx="0">
                  <c:v>255</c:v>
                </c:pt>
                <c:pt idx="1">
                  <c:v>255</c:v>
                </c:pt>
                <c:pt idx="2">
                  <c:v>255</c:v>
                </c:pt>
                <c:pt idx="3">
                  <c:v>255</c:v>
                </c:pt>
                <c:pt idx="4">
                  <c:v>255</c:v>
                </c:pt>
                <c:pt idx="5">
                  <c:v>253</c:v>
                </c:pt>
                <c:pt idx="6">
                  <c:v>254</c:v>
                </c:pt>
                <c:pt idx="7">
                  <c:v>255</c:v>
                </c:pt>
                <c:pt idx="8">
                  <c:v>255.36553540216482</c:v>
                </c:pt>
                <c:pt idx="9">
                  <c:v>255.43550142537453</c:v>
                </c:pt>
                <c:pt idx="10">
                  <c:v>256</c:v>
                </c:pt>
                <c:pt idx="11">
                  <c:v>257</c:v>
                </c:pt>
                <c:pt idx="12">
                  <c:v>257</c:v>
                </c:pt>
                <c:pt idx="13">
                  <c:v>257</c:v>
                </c:pt>
                <c:pt idx="14">
                  <c:v>256</c:v>
                </c:pt>
                <c:pt idx="15">
                  <c:v>256</c:v>
                </c:pt>
                <c:pt idx="16">
                  <c:v>255.7745535689902</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6-C5D7-4DDF-9EF1-FA6F9DE10C7D}"/>
            </c:ext>
          </c:extLst>
        </c:ser>
        <c:dLbls>
          <c:showLegendKey val="0"/>
          <c:showVal val="0"/>
          <c:showCatName val="0"/>
          <c:showSerName val="0"/>
          <c:showPercent val="0"/>
          <c:showBubbleSize val="0"/>
        </c:dLbls>
        <c:marker val="1"/>
        <c:smooth val="0"/>
        <c:axId val="1694297695"/>
        <c:axId val="1686312287"/>
      </c:lineChart>
      <c:catAx>
        <c:axId val="-1362873136"/>
        <c:scaling>
          <c:orientation val="minMax"/>
        </c:scaling>
        <c:delete val="0"/>
        <c:axPos val="b"/>
        <c:numFmt formatCode="h: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8745936"/>
        <c:crosses val="autoZero"/>
        <c:auto val="1"/>
        <c:lblAlgn val="ctr"/>
        <c:lblOffset val="100"/>
        <c:tickLblSkip val="2"/>
        <c:noMultiLvlLbl val="1"/>
      </c:catAx>
      <c:valAx>
        <c:axId val="-139874593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AU"/>
                  <a:t>Power Flow (kW)</a:t>
                </a:r>
              </a:p>
            </c:rich>
          </c:tx>
          <c:overlay val="0"/>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62873136"/>
        <c:crosses val="autoZero"/>
        <c:crossBetween val="between"/>
      </c:valAx>
      <c:valAx>
        <c:axId val="1686312287"/>
        <c:scaling>
          <c:orientation val="minMax"/>
          <c:max val="265"/>
          <c:min val="220"/>
        </c:scaling>
        <c:delete val="0"/>
        <c:axPos val="r"/>
        <c:title>
          <c:tx>
            <c:rich>
              <a:bodyPr/>
              <a:lstStyle/>
              <a:p>
                <a:pPr>
                  <a:defRPr/>
                </a:pPr>
                <a:r>
                  <a:rPr lang="en-AU"/>
                  <a:t>Voltage</a:t>
                </a:r>
              </a:p>
            </c:rich>
          </c:tx>
          <c:overlay val="0"/>
        </c:title>
        <c:numFmt formatCode="0.0" sourceLinked="1"/>
        <c:majorTickMark val="out"/>
        <c:minorTickMark val="none"/>
        <c:tickLblPos val="nextTo"/>
        <c:txPr>
          <a:bodyPr/>
          <a:lstStyle/>
          <a:p>
            <a:pPr>
              <a:defRPr sz="900"/>
            </a:pPr>
            <a:endParaRPr lang="en-US"/>
          </a:p>
        </c:txPr>
        <c:crossAx val="1694297695"/>
        <c:crosses val="max"/>
        <c:crossBetween val="between"/>
      </c:valAx>
      <c:catAx>
        <c:axId val="1694297695"/>
        <c:scaling>
          <c:orientation val="minMax"/>
        </c:scaling>
        <c:delete val="1"/>
        <c:axPos val="b"/>
        <c:majorTickMark val="out"/>
        <c:minorTickMark val="none"/>
        <c:tickLblPos val="nextTo"/>
        <c:crossAx val="1686312287"/>
        <c:crosses val="autoZero"/>
        <c:auto val="1"/>
        <c:lblAlgn val="ctr"/>
        <c:lblOffset val="100"/>
        <c:noMultiLvlLbl val="0"/>
      </c:catAx>
      <c:spPr>
        <a:noFill/>
        <a:ln>
          <a:noFill/>
        </a:ln>
        <a:effectLst/>
      </c:spPr>
    </c:plotArea>
    <c:legend>
      <c:legendPos val="b"/>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en-AU" sz="1400" b="1"/>
              <a:t>Daily Power - Without EdgeIQ</a:t>
            </a:r>
          </a:p>
        </c:rich>
      </c:tx>
      <c:overlay val="0"/>
    </c:title>
    <c:autoTitleDeleted val="0"/>
    <c:plotArea>
      <c:layout/>
      <c:lineChart>
        <c:grouping val="standard"/>
        <c:varyColors val="0"/>
        <c:ser>
          <c:idx val="2"/>
          <c:order val="0"/>
          <c:tx>
            <c:strRef>
              <c:f>'Power Flows'!$K$20</c:f>
              <c:strCache>
                <c:ptCount val="1"/>
                <c:pt idx="0">
                  <c:v>Energy consumption</c:v>
                </c:pt>
              </c:strCache>
            </c:strRef>
          </c:tx>
          <c:spPr>
            <a:ln w="19050" cap="rnd">
              <a:solidFill>
                <a:schemeClr val="tx1"/>
              </a:solidFill>
              <a:round/>
            </a:ln>
            <a:effectLst/>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Flows'!$K$23:$K$46</c:f>
              <c:numCache>
                <c:formatCode>0.00</c:formatCode>
                <c:ptCount val="24"/>
                <c:pt idx="0">
                  <c:v>0.25106666666666672</c:v>
                </c:pt>
                <c:pt idx="1">
                  <c:v>0.25106666666666672</c:v>
                </c:pt>
                <c:pt idx="2">
                  <c:v>0.25106666666666672</c:v>
                </c:pt>
                <c:pt idx="3">
                  <c:v>0.25106666666666672</c:v>
                </c:pt>
                <c:pt idx="4">
                  <c:v>0.25106666666666672</c:v>
                </c:pt>
                <c:pt idx="5">
                  <c:v>0.25106666666666672</c:v>
                </c:pt>
                <c:pt idx="6">
                  <c:v>2.5106666666666673</c:v>
                </c:pt>
                <c:pt idx="7">
                  <c:v>3.0128000000000004</c:v>
                </c:pt>
                <c:pt idx="8">
                  <c:v>0.75320000000000009</c:v>
                </c:pt>
                <c:pt idx="9">
                  <c:v>0.50213333333333343</c:v>
                </c:pt>
                <c:pt idx="10">
                  <c:v>0.50213333333333343</c:v>
                </c:pt>
                <c:pt idx="11">
                  <c:v>0.50213333333333343</c:v>
                </c:pt>
                <c:pt idx="12">
                  <c:v>0.50213333333333343</c:v>
                </c:pt>
                <c:pt idx="13">
                  <c:v>0.50213333333333343</c:v>
                </c:pt>
                <c:pt idx="14">
                  <c:v>0.50213333333333343</c:v>
                </c:pt>
                <c:pt idx="15">
                  <c:v>0.50213333333333343</c:v>
                </c:pt>
                <c:pt idx="16">
                  <c:v>1.2553333333333336</c:v>
                </c:pt>
                <c:pt idx="17">
                  <c:v>2.0085333333333337</c:v>
                </c:pt>
                <c:pt idx="18">
                  <c:v>3.0128000000000004</c:v>
                </c:pt>
                <c:pt idx="19">
                  <c:v>3.0128000000000004</c:v>
                </c:pt>
                <c:pt idx="20">
                  <c:v>2.0085333333333337</c:v>
                </c:pt>
                <c:pt idx="21">
                  <c:v>1.5064000000000002</c:v>
                </c:pt>
                <c:pt idx="22">
                  <c:v>0.75320000000000009</c:v>
                </c:pt>
                <c:pt idx="23">
                  <c:v>0.25106666666666672</c:v>
                </c:pt>
              </c:numCache>
            </c:numRef>
          </c:val>
          <c:smooth val="1"/>
          <c:extLst>
            <c:ext xmlns:c16="http://schemas.microsoft.com/office/drawing/2014/chart" uri="{C3380CC4-5D6E-409C-BE32-E72D297353CC}">
              <c16:uniqueId val="{00000000-61A1-433A-9FB3-FCD3D6DE00C4}"/>
            </c:ext>
          </c:extLst>
        </c:ser>
        <c:ser>
          <c:idx val="4"/>
          <c:order val="1"/>
          <c:tx>
            <c:strRef>
              <c:f>'Power Flows'!$U$20</c:f>
              <c:strCache>
                <c:ptCount val="1"/>
                <c:pt idx="0">
                  <c:v>Grid consumption</c:v>
                </c:pt>
              </c:strCache>
            </c:strRef>
          </c:tx>
          <c:spPr>
            <a:ln>
              <a:solidFill>
                <a:srgbClr val="00B0F0"/>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Flows'!$U$23:$U$46</c:f>
              <c:numCache>
                <c:formatCode>0.00</c:formatCode>
                <c:ptCount val="24"/>
                <c:pt idx="0">
                  <c:v>0.25106666666666672</c:v>
                </c:pt>
                <c:pt idx="1">
                  <c:v>0.25106666666666672</c:v>
                </c:pt>
                <c:pt idx="2">
                  <c:v>0.25106666666666672</c:v>
                </c:pt>
                <c:pt idx="3">
                  <c:v>0.25106666666666672</c:v>
                </c:pt>
                <c:pt idx="4">
                  <c:v>0.25106666666666672</c:v>
                </c:pt>
                <c:pt idx="5">
                  <c:v>0.25106666666666672</c:v>
                </c:pt>
                <c:pt idx="6">
                  <c:v>2.5106666666666673</c:v>
                </c:pt>
                <c:pt idx="7">
                  <c:v>2.5690251139742322</c:v>
                </c:pt>
                <c:pt idx="8">
                  <c:v>0</c:v>
                </c:pt>
                <c:pt idx="9">
                  <c:v>0</c:v>
                </c:pt>
                <c:pt idx="10">
                  <c:v>0.50213333333333343</c:v>
                </c:pt>
                <c:pt idx="11">
                  <c:v>0.50213333333333343</c:v>
                </c:pt>
                <c:pt idx="12">
                  <c:v>0.50213333333333343</c:v>
                </c:pt>
                <c:pt idx="13">
                  <c:v>0.50213333333333343</c:v>
                </c:pt>
                <c:pt idx="14">
                  <c:v>0.50213333333333343</c:v>
                </c:pt>
                <c:pt idx="15">
                  <c:v>0.50213333333333343</c:v>
                </c:pt>
                <c:pt idx="16">
                  <c:v>0</c:v>
                </c:pt>
                <c:pt idx="17">
                  <c:v>0.91361965999339345</c:v>
                </c:pt>
                <c:pt idx="18">
                  <c:v>2.5261717007378044</c:v>
                </c:pt>
                <c:pt idx="19">
                  <c:v>3.0128000000000004</c:v>
                </c:pt>
                <c:pt idx="20">
                  <c:v>2.0085333333333337</c:v>
                </c:pt>
                <c:pt idx="21">
                  <c:v>1.5064000000000002</c:v>
                </c:pt>
                <c:pt idx="22">
                  <c:v>0.75320000000000009</c:v>
                </c:pt>
                <c:pt idx="23">
                  <c:v>0.25106666666666672</c:v>
                </c:pt>
              </c:numCache>
            </c:numRef>
          </c:val>
          <c:smooth val="1"/>
          <c:extLst>
            <c:ext xmlns:c16="http://schemas.microsoft.com/office/drawing/2014/chart" uri="{C3380CC4-5D6E-409C-BE32-E72D297353CC}">
              <c16:uniqueId val="{00000001-61A1-433A-9FB3-FCD3D6DE00C4}"/>
            </c:ext>
          </c:extLst>
        </c:ser>
        <c:ser>
          <c:idx val="0"/>
          <c:order val="2"/>
          <c:tx>
            <c:strRef>
              <c:f>'Power Flows'!$T$20</c:f>
              <c:strCache>
                <c:ptCount val="1"/>
                <c:pt idx="0">
                  <c:v>Solar generation</c:v>
                </c:pt>
              </c:strCache>
            </c:strRef>
          </c:tx>
          <c:spPr>
            <a:ln>
              <a:solidFill>
                <a:schemeClr val="accent4"/>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Flows'!$T$23:$T$46</c:f>
              <c:numCache>
                <c:formatCode>0.00</c:formatCode>
                <c:ptCount val="24"/>
                <c:pt idx="0">
                  <c:v>0</c:v>
                </c:pt>
                <c:pt idx="1">
                  <c:v>0</c:v>
                </c:pt>
                <c:pt idx="2">
                  <c:v>0</c:v>
                </c:pt>
                <c:pt idx="3">
                  <c:v>0</c:v>
                </c:pt>
                <c:pt idx="4">
                  <c:v>0</c:v>
                </c:pt>
                <c:pt idx="5">
                  <c:v>0</c:v>
                </c:pt>
                <c:pt idx="6">
                  <c:v>0</c:v>
                </c:pt>
                <c:pt idx="7">
                  <c:v>0.44377488602576814</c:v>
                </c:pt>
                <c:pt idx="8">
                  <c:v>0.99849349355797812</c:v>
                </c:pt>
                <c:pt idx="9">
                  <c:v>2.1236645454905845</c:v>
                </c:pt>
                <c:pt idx="10">
                  <c:v>0</c:v>
                </c:pt>
                <c:pt idx="11">
                  <c:v>0</c:v>
                </c:pt>
                <c:pt idx="12">
                  <c:v>0</c:v>
                </c:pt>
                <c:pt idx="13">
                  <c:v>0</c:v>
                </c:pt>
                <c:pt idx="14">
                  <c:v>0</c:v>
                </c:pt>
                <c:pt idx="15">
                  <c:v>0</c:v>
                </c:pt>
                <c:pt idx="16">
                  <c:v>1.7750995441030726</c:v>
                </c:pt>
                <c:pt idx="17">
                  <c:v>1.0949136733399403</c:v>
                </c:pt>
                <c:pt idx="18">
                  <c:v>0.48662829926219575</c:v>
                </c:pt>
                <c:pt idx="19">
                  <c:v>0</c:v>
                </c:pt>
                <c:pt idx="20">
                  <c:v>0</c:v>
                </c:pt>
                <c:pt idx="21">
                  <c:v>0</c:v>
                </c:pt>
                <c:pt idx="22">
                  <c:v>0</c:v>
                </c:pt>
                <c:pt idx="23">
                  <c:v>0</c:v>
                </c:pt>
              </c:numCache>
            </c:numRef>
          </c:val>
          <c:smooth val="1"/>
          <c:extLst>
            <c:ext xmlns:c16="http://schemas.microsoft.com/office/drawing/2014/chart" uri="{C3380CC4-5D6E-409C-BE32-E72D297353CC}">
              <c16:uniqueId val="{00000002-61A1-433A-9FB3-FCD3D6DE00C4}"/>
            </c:ext>
          </c:extLst>
        </c:ser>
        <c:ser>
          <c:idx val="1"/>
          <c:order val="3"/>
          <c:tx>
            <c:strRef>
              <c:f>'Power Flows'!$V$20</c:f>
              <c:strCache>
                <c:ptCount val="1"/>
                <c:pt idx="0">
                  <c:v>Solar export</c:v>
                </c:pt>
              </c:strCache>
            </c:strRef>
          </c:tx>
          <c:spPr>
            <a:ln>
              <a:solidFill>
                <a:srgbClr val="FF0000"/>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Flows'!$V$23:$V$46</c:f>
              <c:numCache>
                <c:formatCode>0.00</c:formatCode>
                <c:ptCount val="24"/>
                <c:pt idx="0">
                  <c:v>0</c:v>
                </c:pt>
                <c:pt idx="1">
                  <c:v>0</c:v>
                </c:pt>
                <c:pt idx="2">
                  <c:v>0</c:v>
                </c:pt>
                <c:pt idx="3">
                  <c:v>0</c:v>
                </c:pt>
                <c:pt idx="4">
                  <c:v>0</c:v>
                </c:pt>
                <c:pt idx="5">
                  <c:v>0</c:v>
                </c:pt>
                <c:pt idx="6">
                  <c:v>0</c:v>
                </c:pt>
                <c:pt idx="7">
                  <c:v>0</c:v>
                </c:pt>
                <c:pt idx="8">
                  <c:v>0.24529349355797803</c:v>
                </c:pt>
                <c:pt idx="9">
                  <c:v>1.6215312121572509</c:v>
                </c:pt>
                <c:pt idx="10">
                  <c:v>0</c:v>
                </c:pt>
                <c:pt idx="11">
                  <c:v>0</c:v>
                </c:pt>
                <c:pt idx="12">
                  <c:v>0</c:v>
                </c:pt>
                <c:pt idx="13">
                  <c:v>0</c:v>
                </c:pt>
                <c:pt idx="14">
                  <c:v>0</c:v>
                </c:pt>
                <c:pt idx="15">
                  <c:v>0</c:v>
                </c:pt>
                <c:pt idx="16">
                  <c:v>0.51976621076973895</c:v>
                </c:pt>
                <c:pt idx="17">
                  <c:v>0</c:v>
                </c:pt>
                <c:pt idx="18">
                  <c:v>0</c:v>
                </c:pt>
                <c:pt idx="19">
                  <c:v>0</c:v>
                </c:pt>
                <c:pt idx="20">
                  <c:v>0</c:v>
                </c:pt>
                <c:pt idx="21">
                  <c:v>0</c:v>
                </c:pt>
                <c:pt idx="22">
                  <c:v>0</c:v>
                </c:pt>
                <c:pt idx="23">
                  <c:v>0</c:v>
                </c:pt>
              </c:numCache>
            </c:numRef>
          </c:val>
          <c:smooth val="1"/>
          <c:extLst>
            <c:ext xmlns:c16="http://schemas.microsoft.com/office/drawing/2014/chart" uri="{C3380CC4-5D6E-409C-BE32-E72D297353CC}">
              <c16:uniqueId val="{00000003-61A1-433A-9FB3-FCD3D6DE00C4}"/>
            </c:ext>
          </c:extLst>
        </c:ser>
        <c:dLbls>
          <c:showLegendKey val="0"/>
          <c:showVal val="0"/>
          <c:showCatName val="0"/>
          <c:showSerName val="0"/>
          <c:showPercent val="0"/>
          <c:showBubbleSize val="0"/>
        </c:dLbls>
        <c:marker val="1"/>
        <c:smooth val="0"/>
        <c:axId val="-1397523088"/>
        <c:axId val="-1397520528"/>
      </c:lineChart>
      <c:lineChart>
        <c:grouping val="standard"/>
        <c:varyColors val="0"/>
        <c:ser>
          <c:idx val="3"/>
          <c:order val="4"/>
          <c:tx>
            <c:v>Grid Voltage</c:v>
          </c:tx>
          <c:spPr>
            <a:ln>
              <a:solidFill>
                <a:srgbClr val="00B050"/>
              </a:solidFill>
            </a:ln>
          </c:spPr>
          <c:marker>
            <c:symbol val="none"/>
          </c:marker>
          <c:val>
            <c:numRef>
              <c:f>Profiles!$E$32:$E$55</c:f>
              <c:numCache>
                <c:formatCode>0.0</c:formatCode>
                <c:ptCount val="24"/>
                <c:pt idx="0">
                  <c:v>255</c:v>
                </c:pt>
                <c:pt idx="1">
                  <c:v>255</c:v>
                </c:pt>
                <c:pt idx="2">
                  <c:v>255</c:v>
                </c:pt>
                <c:pt idx="3">
                  <c:v>255</c:v>
                </c:pt>
                <c:pt idx="4">
                  <c:v>255</c:v>
                </c:pt>
                <c:pt idx="5">
                  <c:v>253</c:v>
                </c:pt>
                <c:pt idx="6">
                  <c:v>254</c:v>
                </c:pt>
                <c:pt idx="7">
                  <c:v>255</c:v>
                </c:pt>
                <c:pt idx="8">
                  <c:v>255</c:v>
                </c:pt>
                <c:pt idx="9">
                  <c:v>253</c:v>
                </c:pt>
                <c:pt idx="10">
                  <c:v>256</c:v>
                </c:pt>
                <c:pt idx="11">
                  <c:v>257</c:v>
                </c:pt>
                <c:pt idx="12">
                  <c:v>257</c:v>
                </c:pt>
                <c:pt idx="13">
                  <c:v>257</c:v>
                </c:pt>
                <c:pt idx="14">
                  <c:v>256</c:v>
                </c:pt>
                <c:pt idx="15">
                  <c:v>256</c:v>
                </c:pt>
                <c:pt idx="16">
                  <c:v>255</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4-61A1-433A-9FB3-FCD3D6DE00C4}"/>
            </c:ext>
          </c:extLst>
        </c:ser>
        <c:ser>
          <c:idx val="5"/>
          <c:order val="5"/>
          <c:tx>
            <c:v>Inverter Voltage</c:v>
          </c:tx>
          <c:spPr>
            <a:ln>
              <a:solidFill>
                <a:srgbClr val="00B050">
                  <a:alpha val="39000"/>
                </a:srgbClr>
              </a:solidFill>
            </a:ln>
          </c:spPr>
          <c:marker>
            <c:symbol val="none"/>
          </c:marker>
          <c:val>
            <c:numRef>
              <c:f>'Power Flows'!$Z$23:$Z$46</c:f>
              <c:numCache>
                <c:formatCode>0</c:formatCode>
                <c:ptCount val="24"/>
                <c:pt idx="0">
                  <c:v>255</c:v>
                </c:pt>
                <c:pt idx="1">
                  <c:v>255</c:v>
                </c:pt>
                <c:pt idx="2">
                  <c:v>255</c:v>
                </c:pt>
                <c:pt idx="3">
                  <c:v>255</c:v>
                </c:pt>
                <c:pt idx="4">
                  <c:v>255</c:v>
                </c:pt>
                <c:pt idx="5">
                  <c:v>253</c:v>
                </c:pt>
                <c:pt idx="6">
                  <c:v>254</c:v>
                </c:pt>
                <c:pt idx="7">
                  <c:v>255</c:v>
                </c:pt>
                <c:pt idx="8">
                  <c:v>255.36553540216482</c:v>
                </c:pt>
                <c:pt idx="9">
                  <c:v>255.43550142537453</c:v>
                </c:pt>
                <c:pt idx="10">
                  <c:v>256</c:v>
                </c:pt>
                <c:pt idx="11">
                  <c:v>257</c:v>
                </c:pt>
                <c:pt idx="12">
                  <c:v>257</c:v>
                </c:pt>
                <c:pt idx="13">
                  <c:v>257</c:v>
                </c:pt>
                <c:pt idx="14">
                  <c:v>256</c:v>
                </c:pt>
                <c:pt idx="15">
                  <c:v>256</c:v>
                </c:pt>
                <c:pt idx="16">
                  <c:v>255.7745535689902</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5-61A1-433A-9FB3-FCD3D6DE00C4}"/>
            </c:ext>
          </c:extLst>
        </c:ser>
        <c:dLbls>
          <c:showLegendKey val="0"/>
          <c:showVal val="0"/>
          <c:showCatName val="0"/>
          <c:showSerName val="0"/>
          <c:showPercent val="0"/>
          <c:showBubbleSize val="0"/>
        </c:dLbls>
        <c:marker val="1"/>
        <c:smooth val="0"/>
        <c:axId val="1666351855"/>
        <c:axId val="1547609007"/>
      </c:lineChart>
      <c:catAx>
        <c:axId val="-1397523088"/>
        <c:scaling>
          <c:orientation val="minMax"/>
        </c:scaling>
        <c:delete val="0"/>
        <c:axPos val="b"/>
        <c:numFmt formatCode="h:mm"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1397520528"/>
        <c:crosses val="autoZero"/>
        <c:auto val="1"/>
        <c:lblAlgn val="ctr"/>
        <c:lblOffset val="100"/>
        <c:tickLblSkip val="2"/>
        <c:noMultiLvlLbl val="1"/>
      </c:catAx>
      <c:valAx>
        <c:axId val="-13975205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AU"/>
                  <a:t>Power Flow (kW)</a:t>
                </a:r>
              </a:p>
            </c:rich>
          </c:tx>
          <c:overlay val="0"/>
        </c:title>
        <c:numFmt formatCode="0.00" sourceLinked="1"/>
        <c:majorTickMark val="none"/>
        <c:minorTickMark val="none"/>
        <c:tickLblPos val="nextTo"/>
        <c:spPr>
          <a:noFill/>
          <a:ln>
            <a:noFill/>
          </a:ln>
          <a:effectLst/>
        </c:spPr>
        <c:txPr>
          <a:bodyPr rot="-60000000" vert="horz"/>
          <a:lstStyle/>
          <a:p>
            <a:pPr>
              <a:defRPr/>
            </a:pPr>
            <a:endParaRPr lang="en-US"/>
          </a:p>
        </c:txPr>
        <c:crossAx val="-1397523088"/>
        <c:crosses val="autoZero"/>
        <c:crossBetween val="between"/>
      </c:valAx>
      <c:valAx>
        <c:axId val="1547609007"/>
        <c:scaling>
          <c:orientation val="minMax"/>
          <c:max val="265"/>
          <c:min val="215"/>
        </c:scaling>
        <c:delete val="0"/>
        <c:axPos val="r"/>
        <c:title>
          <c:tx>
            <c:rich>
              <a:bodyPr/>
              <a:lstStyle/>
              <a:p>
                <a:pPr>
                  <a:defRPr/>
                </a:pPr>
                <a:r>
                  <a:rPr lang="en-AU"/>
                  <a:t>Voltage</a:t>
                </a:r>
              </a:p>
            </c:rich>
          </c:tx>
          <c:overlay val="0"/>
        </c:title>
        <c:numFmt formatCode="0.0" sourceLinked="1"/>
        <c:majorTickMark val="out"/>
        <c:minorTickMark val="none"/>
        <c:tickLblPos val="nextTo"/>
        <c:crossAx val="1666351855"/>
        <c:crosses val="max"/>
        <c:crossBetween val="between"/>
      </c:valAx>
      <c:catAx>
        <c:axId val="1666351855"/>
        <c:scaling>
          <c:orientation val="minMax"/>
        </c:scaling>
        <c:delete val="1"/>
        <c:axPos val="b"/>
        <c:majorTickMark val="out"/>
        <c:minorTickMark val="none"/>
        <c:tickLblPos val="nextTo"/>
        <c:crossAx val="1547609007"/>
        <c:crosses val="autoZero"/>
        <c:auto val="1"/>
        <c:lblAlgn val="ctr"/>
        <c:lblOffset val="100"/>
        <c:noMultiLvlLbl val="0"/>
      </c:cat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r>
              <a:rPr lang="en-AU" b="1">
                <a:solidFill>
                  <a:sysClr val="windowText" lastClr="000000"/>
                </a:solidFill>
              </a:rPr>
              <a:t>EdgeIQ - Annual</a:t>
            </a:r>
            <a:r>
              <a:rPr lang="en-AU" b="1" baseline="0">
                <a:solidFill>
                  <a:sysClr val="windowText" lastClr="000000"/>
                </a:solidFill>
              </a:rPr>
              <a:t> </a:t>
            </a:r>
            <a:r>
              <a:rPr lang="en-AU" b="1">
                <a:solidFill>
                  <a:sysClr val="windowText" lastClr="000000"/>
                </a:solidFill>
              </a:rPr>
              <a:t>Benefits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autoTitleDeleted val="0"/>
    <c:plotArea>
      <c:layout/>
      <c:barChart>
        <c:barDir val="bar"/>
        <c:grouping val="stacked"/>
        <c:varyColors val="0"/>
        <c:ser>
          <c:idx val="0"/>
          <c:order val="0"/>
          <c:tx>
            <c:strRef>
              <c:f>Savings!$B$3</c:f>
              <c:strCache>
                <c:ptCount val="1"/>
                <c:pt idx="0">
                  <c:v>Energy Savings</c:v>
                </c:pt>
              </c:strCache>
            </c:strRef>
          </c:tx>
          <c:spPr>
            <a:solidFill>
              <a:srgbClr val="00B0F0"/>
            </a:solidFill>
            <a:ln>
              <a:noFill/>
            </a:ln>
            <a:effectLst/>
          </c:spPr>
          <c:invertIfNegative val="0"/>
          <c:dLbls>
            <c:dLbl>
              <c:idx val="0"/>
              <c:tx>
                <c:rich>
                  <a:bodyPr/>
                  <a:lstStyle/>
                  <a:p>
                    <a:fld id="{2EA9D331-2DF4-431C-8A02-3632E3F77C4B}" type="VALUE">
                      <a:rPr lang="en-US"/>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FAF3-4874-ACE8-86C4002413A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Savings!$C$2</c:f>
              <c:strCache>
                <c:ptCount val="1"/>
                <c:pt idx="0">
                  <c:v>Annual</c:v>
                </c:pt>
              </c:strCache>
            </c:strRef>
          </c:cat>
          <c:val>
            <c:numRef>
              <c:f>Savings!$C$3</c:f>
              <c:numCache>
                <c:formatCode>"$"#,##0_);[Red]\("$"#,##0\)</c:formatCode>
                <c:ptCount val="1"/>
                <c:pt idx="0">
                  <c:v>200.06791759503704</c:v>
                </c:pt>
              </c:numCache>
            </c:numRef>
          </c:val>
          <c:extLst>
            <c:ext xmlns:c16="http://schemas.microsoft.com/office/drawing/2014/chart" uri="{C3380CC4-5D6E-409C-BE32-E72D297353CC}">
              <c16:uniqueId val="{00000001-FAF3-4874-ACE8-86C4002413AC}"/>
            </c:ext>
          </c:extLst>
        </c:ser>
        <c:ser>
          <c:idx val="1"/>
          <c:order val="1"/>
          <c:tx>
            <c:strRef>
              <c:f>Savings!$B$4</c:f>
              <c:strCache>
                <c:ptCount val="1"/>
                <c:pt idx="0">
                  <c:v>Solar Savings</c:v>
                </c:pt>
              </c:strCache>
            </c:strRef>
          </c:tx>
          <c:spPr>
            <a:solidFill>
              <a:srgbClr val="FFC000"/>
            </a:solidFill>
            <a:ln>
              <a:noFill/>
            </a:ln>
            <a:effectLst/>
          </c:spPr>
          <c:invertIfNegative val="0"/>
          <c:dLbls>
            <c:dLbl>
              <c:idx val="0"/>
              <c:tx>
                <c:rich>
                  <a:bodyPr/>
                  <a:lstStyle/>
                  <a:p>
                    <a:fld id="{5CF0DF5B-38CE-4C74-857B-A6D21FEF2A49}" type="VALUE">
                      <a:rPr lang="en-US"/>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FAF3-4874-ACE8-86C4002413A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Savings!$C$2</c:f>
              <c:strCache>
                <c:ptCount val="1"/>
                <c:pt idx="0">
                  <c:v>Annual</c:v>
                </c:pt>
              </c:strCache>
            </c:strRef>
          </c:cat>
          <c:val>
            <c:numRef>
              <c:f>Savings!$C$4</c:f>
              <c:numCache>
                <c:formatCode>"$"#,##0_);[Red]\("$"#,##0\)</c:formatCode>
                <c:ptCount val="1"/>
                <c:pt idx="0">
                  <c:v>1397.0918000053443</c:v>
                </c:pt>
              </c:numCache>
            </c:numRef>
          </c:val>
          <c:extLst>
            <c:ext xmlns:c16="http://schemas.microsoft.com/office/drawing/2014/chart" uri="{C3380CC4-5D6E-409C-BE32-E72D297353CC}">
              <c16:uniqueId val="{00000003-FAF3-4874-ACE8-86C4002413AC}"/>
            </c:ext>
          </c:extLst>
        </c:ser>
        <c:ser>
          <c:idx val="3"/>
          <c:order val="2"/>
          <c:tx>
            <c:strRef>
              <c:f>Savings!$B$5</c:f>
              <c:strCache>
                <c:ptCount val="1"/>
                <c:pt idx="0">
                  <c:v>Appliance Protection</c:v>
                </c:pt>
              </c:strCache>
            </c:strRef>
          </c:tx>
          <c:spPr>
            <a:solidFill>
              <a:schemeClr val="accent3">
                <a:tint val="77000"/>
              </a:schemeClr>
            </a:solidFill>
            <a:ln>
              <a:noFill/>
            </a:ln>
            <a:effectLst/>
          </c:spPr>
          <c:invertIfNegative val="0"/>
          <c:dLbls>
            <c:dLbl>
              <c:idx val="0"/>
              <c:tx>
                <c:rich>
                  <a:bodyPr/>
                  <a:lstStyle/>
                  <a:p>
                    <a:fld id="{7B5356EE-27BC-422D-A504-9B01B51C3ABE}" type="VALUE">
                      <a:rPr lang="en-US"/>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FAF3-4874-ACE8-86C4002413A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Savings!$C$2</c:f>
              <c:strCache>
                <c:ptCount val="1"/>
                <c:pt idx="0">
                  <c:v>Annual</c:v>
                </c:pt>
              </c:strCache>
            </c:strRef>
          </c:cat>
          <c:val>
            <c:numRef>
              <c:f>Savings!$C$5</c:f>
              <c:numCache>
                <c:formatCode>"$"#,##0_);[Red]\("$"#,##0\)</c:formatCode>
                <c:ptCount val="1"/>
                <c:pt idx="0">
                  <c:v>411.92030999881808</c:v>
                </c:pt>
              </c:numCache>
            </c:numRef>
          </c:val>
          <c:extLst>
            <c:ext xmlns:c16="http://schemas.microsoft.com/office/drawing/2014/chart" uri="{C3380CC4-5D6E-409C-BE32-E72D297353CC}">
              <c16:uniqueId val="{00000007-FAF3-4874-ACE8-86C4002413AC}"/>
            </c:ext>
          </c:extLst>
        </c:ser>
        <c:ser>
          <c:idx val="4"/>
          <c:order val="3"/>
          <c:tx>
            <c:strRef>
              <c:f>Savings!$B$6</c:f>
              <c:strCache>
                <c:ptCount val="1"/>
                <c:pt idx="0">
                  <c:v>Surge Protection</c:v>
                </c:pt>
              </c:strCache>
            </c:strRef>
          </c:tx>
          <c:spPr>
            <a:solidFill>
              <a:schemeClr val="bg1">
                <a:lumMod val="65000"/>
              </a:schemeClr>
            </a:solidFill>
            <a:ln>
              <a:noFill/>
            </a:ln>
            <a:effectLst/>
          </c:spPr>
          <c:invertIfNegative val="0"/>
          <c:dLbls>
            <c:dLbl>
              <c:idx val="0"/>
              <c:tx>
                <c:rich>
                  <a:bodyPr/>
                  <a:lstStyle/>
                  <a:p>
                    <a:fld id="{2B742448-384E-4BFB-9674-99FDF1B619F3}" type="VALUE">
                      <a:rPr lang="en-US"/>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FAF3-4874-ACE8-86C4002413A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Savings!$C$2</c:f>
              <c:strCache>
                <c:ptCount val="1"/>
                <c:pt idx="0">
                  <c:v>Annual</c:v>
                </c:pt>
              </c:strCache>
            </c:strRef>
          </c:cat>
          <c:val>
            <c:numRef>
              <c:f>Savings!$C$6</c:f>
              <c:numCache>
                <c:formatCode>"$"#,##0_);[Red]\("$"#,##0\)</c:formatCode>
                <c:ptCount val="1"/>
                <c:pt idx="0">
                  <c:v>100</c:v>
                </c:pt>
              </c:numCache>
            </c:numRef>
          </c:val>
          <c:extLst>
            <c:ext xmlns:c16="http://schemas.microsoft.com/office/drawing/2014/chart" uri="{C3380CC4-5D6E-409C-BE32-E72D297353CC}">
              <c16:uniqueId val="{00000009-FAF3-4874-ACE8-86C4002413AC}"/>
            </c:ext>
          </c:extLst>
        </c:ser>
        <c:dLbls>
          <c:dLblPos val="ctr"/>
          <c:showLegendKey val="0"/>
          <c:showVal val="1"/>
          <c:showCatName val="0"/>
          <c:showSerName val="0"/>
          <c:showPercent val="0"/>
          <c:showBubbleSize val="0"/>
        </c:dLbls>
        <c:gapWidth val="36"/>
        <c:overlap val="100"/>
        <c:axId val="543410095"/>
        <c:axId val="626961391"/>
        <c:extLst/>
      </c:barChart>
      <c:catAx>
        <c:axId val="543410095"/>
        <c:scaling>
          <c:orientation val="minMax"/>
        </c:scaling>
        <c:delete val="1"/>
        <c:axPos val="l"/>
        <c:numFmt formatCode="General" sourceLinked="1"/>
        <c:majorTickMark val="none"/>
        <c:minorTickMark val="none"/>
        <c:tickLblPos val="nextTo"/>
        <c:crossAx val="626961391"/>
        <c:crosses val="autoZero"/>
        <c:auto val="1"/>
        <c:lblAlgn val="ctr"/>
        <c:lblOffset val="100"/>
        <c:noMultiLvlLbl val="0"/>
      </c:catAx>
      <c:valAx>
        <c:axId val="626961391"/>
        <c:scaling>
          <c:orientation val="minMax"/>
        </c:scaling>
        <c:delete val="0"/>
        <c:axPos val="b"/>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5434100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Inputs!$Y$3</c:f>
              <c:strCache>
                <c:ptCount val="1"/>
              </c:strCache>
            </c:strRef>
          </c:tx>
          <c:spPr>
            <a:ln w="28575" cap="rnd">
              <a:solidFill>
                <a:schemeClr val="accent1"/>
              </a:solidFill>
              <a:round/>
            </a:ln>
            <a:effectLst/>
          </c:spPr>
          <c:marker>
            <c:symbol val="none"/>
          </c:marker>
          <c:cat>
            <c:numRef>
              <c:f>Inputs!$X$4:$X$28</c:f>
              <c:numCache>
                <c:formatCode>General</c:formatCode>
                <c:ptCount val="25"/>
              </c:numCache>
            </c:numRef>
          </c:cat>
          <c:val>
            <c:numRef>
              <c:f>Inputs!$Y$4:$Y$28</c:f>
              <c:numCache>
                <c:formatCode>"$"#,##0</c:formatCode>
                <c:ptCount val="25"/>
              </c:numCache>
            </c:numRef>
          </c:val>
          <c:smooth val="0"/>
          <c:extLst>
            <c:ext xmlns:c16="http://schemas.microsoft.com/office/drawing/2014/chart" uri="{C3380CC4-5D6E-409C-BE32-E72D297353CC}">
              <c16:uniqueId val="{00000000-30FA-4EE3-9F7D-E79D6B86E5CE}"/>
            </c:ext>
          </c:extLst>
        </c:ser>
        <c:ser>
          <c:idx val="1"/>
          <c:order val="1"/>
          <c:tx>
            <c:strRef>
              <c:f>Inputs!$Z$3</c:f>
              <c:strCache>
                <c:ptCount val="1"/>
              </c:strCache>
            </c:strRef>
          </c:tx>
          <c:spPr>
            <a:ln w="28575" cap="rnd">
              <a:solidFill>
                <a:schemeClr val="accent2"/>
              </a:solidFill>
              <a:round/>
            </a:ln>
            <a:effectLst/>
          </c:spPr>
          <c:marker>
            <c:symbol val="none"/>
          </c:marker>
          <c:cat>
            <c:numRef>
              <c:f>Inputs!$X$4:$X$28</c:f>
              <c:numCache>
                <c:formatCode>General</c:formatCode>
                <c:ptCount val="25"/>
              </c:numCache>
            </c:numRef>
          </c:cat>
          <c:val>
            <c:numRef>
              <c:f>Inputs!$Z$4:$Z$28</c:f>
              <c:numCache>
                <c:formatCode>"$"#,##0</c:formatCode>
                <c:ptCount val="25"/>
              </c:numCache>
            </c:numRef>
          </c:val>
          <c:smooth val="0"/>
          <c:extLst>
            <c:ext xmlns:c16="http://schemas.microsoft.com/office/drawing/2014/chart" uri="{C3380CC4-5D6E-409C-BE32-E72D297353CC}">
              <c16:uniqueId val="{00000001-30FA-4EE3-9F7D-E79D6B86E5CE}"/>
            </c:ext>
          </c:extLst>
        </c:ser>
        <c:ser>
          <c:idx val="2"/>
          <c:order val="2"/>
          <c:tx>
            <c:strRef>
              <c:f>Inputs!$AA$3</c:f>
              <c:strCache>
                <c:ptCount val="1"/>
              </c:strCache>
            </c:strRef>
          </c:tx>
          <c:spPr>
            <a:ln w="28575" cap="rnd">
              <a:solidFill>
                <a:schemeClr val="accent3"/>
              </a:solidFill>
              <a:round/>
            </a:ln>
            <a:effectLst/>
          </c:spPr>
          <c:marker>
            <c:symbol val="none"/>
          </c:marker>
          <c:cat>
            <c:numRef>
              <c:f>Inputs!$X$4:$X$28</c:f>
              <c:numCache>
                <c:formatCode>General</c:formatCode>
                <c:ptCount val="25"/>
              </c:numCache>
            </c:numRef>
          </c:cat>
          <c:val>
            <c:numRef>
              <c:f>Inputs!$AA$4:$AA$28</c:f>
              <c:numCache>
                <c:formatCode>"$"#,##0</c:formatCode>
                <c:ptCount val="25"/>
              </c:numCache>
            </c:numRef>
          </c:val>
          <c:smooth val="0"/>
          <c:extLst>
            <c:ext xmlns:c16="http://schemas.microsoft.com/office/drawing/2014/chart" uri="{C3380CC4-5D6E-409C-BE32-E72D297353CC}">
              <c16:uniqueId val="{00000002-30FA-4EE3-9F7D-E79D6B86E5CE}"/>
            </c:ext>
          </c:extLst>
        </c:ser>
        <c:dLbls>
          <c:showLegendKey val="0"/>
          <c:showVal val="0"/>
          <c:showCatName val="0"/>
          <c:showSerName val="0"/>
          <c:showPercent val="0"/>
          <c:showBubbleSize val="0"/>
        </c:dLbls>
        <c:smooth val="0"/>
        <c:axId val="51560224"/>
        <c:axId val="477710832"/>
      </c:lineChart>
      <c:catAx>
        <c:axId val="51560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7710832"/>
        <c:crosses val="autoZero"/>
        <c:auto val="1"/>
        <c:lblAlgn val="ctr"/>
        <c:lblOffset val="100"/>
        <c:noMultiLvlLbl val="0"/>
      </c:catAx>
      <c:valAx>
        <c:axId val="4777108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60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Powerflows</a:t>
            </a:r>
            <a:r>
              <a:rPr lang="en-AU" baseline="0"/>
              <a:t> - No EIQ</a:t>
            </a:r>
            <a:endParaRPr lang="en-AU"/>
          </a:p>
        </c:rich>
      </c:tx>
      <c:layout>
        <c:manualLayout>
          <c:xMode val="edge"/>
          <c:yMode val="edge"/>
          <c:x val="0.29509481668773702"/>
          <c:y val="3.1434184675835003E-2"/>
        </c:manualLayout>
      </c:layout>
      <c:overlay val="0"/>
      <c:spPr>
        <a:noFill/>
        <a:ln>
          <a:noFill/>
        </a:ln>
        <a:effectLst/>
      </c:spPr>
    </c:title>
    <c:autoTitleDeleted val="0"/>
    <c:plotArea>
      <c:layout/>
      <c:lineChart>
        <c:grouping val="standard"/>
        <c:varyColors val="0"/>
        <c:ser>
          <c:idx val="2"/>
          <c:order val="0"/>
          <c:tx>
            <c:strRef>
              <c:f>'Power Flows'!$K$20</c:f>
              <c:strCache>
                <c:ptCount val="1"/>
                <c:pt idx="0">
                  <c:v>Energy consumption</c:v>
                </c:pt>
              </c:strCache>
            </c:strRef>
          </c:tx>
          <c:spPr>
            <a:ln w="19050" cap="rnd">
              <a:solidFill>
                <a:schemeClr val="tx1"/>
              </a:solidFill>
              <a:round/>
            </a:ln>
            <a:effectLst/>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Flows'!$K$23:$K$46</c:f>
              <c:numCache>
                <c:formatCode>0.00</c:formatCode>
                <c:ptCount val="24"/>
                <c:pt idx="0">
                  <c:v>0.25106666666666672</c:v>
                </c:pt>
                <c:pt idx="1">
                  <c:v>0.25106666666666672</c:v>
                </c:pt>
                <c:pt idx="2">
                  <c:v>0.25106666666666672</c:v>
                </c:pt>
                <c:pt idx="3">
                  <c:v>0.25106666666666672</c:v>
                </c:pt>
                <c:pt idx="4">
                  <c:v>0.25106666666666672</c:v>
                </c:pt>
                <c:pt idx="5">
                  <c:v>0.25106666666666672</c:v>
                </c:pt>
                <c:pt idx="6">
                  <c:v>2.5106666666666673</c:v>
                </c:pt>
                <c:pt idx="7">
                  <c:v>3.0128000000000004</c:v>
                </c:pt>
                <c:pt idx="8">
                  <c:v>0.75320000000000009</c:v>
                </c:pt>
                <c:pt idx="9">
                  <c:v>0.50213333333333343</c:v>
                </c:pt>
                <c:pt idx="10">
                  <c:v>0.50213333333333343</c:v>
                </c:pt>
                <c:pt idx="11">
                  <c:v>0.50213333333333343</c:v>
                </c:pt>
                <c:pt idx="12">
                  <c:v>0.50213333333333343</c:v>
                </c:pt>
                <c:pt idx="13">
                  <c:v>0.50213333333333343</c:v>
                </c:pt>
                <c:pt idx="14">
                  <c:v>0.50213333333333343</c:v>
                </c:pt>
                <c:pt idx="15">
                  <c:v>0.50213333333333343</c:v>
                </c:pt>
                <c:pt idx="16">
                  <c:v>1.2553333333333336</c:v>
                </c:pt>
                <c:pt idx="17">
                  <c:v>2.0085333333333337</c:v>
                </c:pt>
                <c:pt idx="18">
                  <c:v>3.0128000000000004</c:v>
                </c:pt>
                <c:pt idx="19">
                  <c:v>3.0128000000000004</c:v>
                </c:pt>
                <c:pt idx="20">
                  <c:v>2.0085333333333337</c:v>
                </c:pt>
                <c:pt idx="21">
                  <c:v>1.5064000000000002</c:v>
                </c:pt>
                <c:pt idx="22">
                  <c:v>0.75320000000000009</c:v>
                </c:pt>
                <c:pt idx="23">
                  <c:v>0.25106666666666672</c:v>
                </c:pt>
              </c:numCache>
            </c:numRef>
          </c:val>
          <c:smooth val="1"/>
          <c:extLst>
            <c:ext xmlns:c16="http://schemas.microsoft.com/office/drawing/2014/chart" uri="{C3380CC4-5D6E-409C-BE32-E72D297353CC}">
              <c16:uniqueId val="{00000000-1F78-4FDF-97E5-15CD170A2FD6}"/>
            </c:ext>
          </c:extLst>
        </c:ser>
        <c:ser>
          <c:idx val="4"/>
          <c:order val="1"/>
          <c:tx>
            <c:strRef>
              <c:f>'Power Flows'!$U$20</c:f>
              <c:strCache>
                <c:ptCount val="1"/>
                <c:pt idx="0">
                  <c:v>Grid consumption</c:v>
                </c:pt>
              </c:strCache>
            </c:strRef>
          </c:tx>
          <c:spPr>
            <a:ln>
              <a:solidFill>
                <a:srgbClr val="00B0F0"/>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Flows'!$U$23:$U$46</c:f>
              <c:numCache>
                <c:formatCode>0.00</c:formatCode>
                <c:ptCount val="24"/>
                <c:pt idx="0">
                  <c:v>0.25106666666666672</c:v>
                </c:pt>
                <c:pt idx="1">
                  <c:v>0.25106666666666672</c:v>
                </c:pt>
                <c:pt idx="2">
                  <c:v>0.25106666666666672</c:v>
                </c:pt>
                <c:pt idx="3">
                  <c:v>0.25106666666666672</c:v>
                </c:pt>
                <c:pt idx="4">
                  <c:v>0.25106666666666672</c:v>
                </c:pt>
                <c:pt idx="5">
                  <c:v>0.25106666666666672</c:v>
                </c:pt>
                <c:pt idx="6">
                  <c:v>2.5106666666666673</c:v>
                </c:pt>
                <c:pt idx="7">
                  <c:v>2.5690251139742322</c:v>
                </c:pt>
                <c:pt idx="8">
                  <c:v>0</c:v>
                </c:pt>
                <c:pt idx="9">
                  <c:v>0</c:v>
                </c:pt>
                <c:pt idx="10">
                  <c:v>0.50213333333333343</c:v>
                </c:pt>
                <c:pt idx="11">
                  <c:v>0.50213333333333343</c:v>
                </c:pt>
                <c:pt idx="12">
                  <c:v>0.50213333333333343</c:v>
                </c:pt>
                <c:pt idx="13">
                  <c:v>0.50213333333333343</c:v>
                </c:pt>
                <c:pt idx="14">
                  <c:v>0.50213333333333343</c:v>
                </c:pt>
                <c:pt idx="15">
                  <c:v>0.50213333333333343</c:v>
                </c:pt>
                <c:pt idx="16">
                  <c:v>0</c:v>
                </c:pt>
                <c:pt idx="17">
                  <c:v>0.91361965999339345</c:v>
                </c:pt>
                <c:pt idx="18">
                  <c:v>2.5261717007378044</c:v>
                </c:pt>
                <c:pt idx="19">
                  <c:v>3.0128000000000004</c:v>
                </c:pt>
                <c:pt idx="20">
                  <c:v>2.0085333333333337</c:v>
                </c:pt>
                <c:pt idx="21">
                  <c:v>1.5064000000000002</c:v>
                </c:pt>
                <c:pt idx="22">
                  <c:v>0.75320000000000009</c:v>
                </c:pt>
                <c:pt idx="23">
                  <c:v>0.25106666666666672</c:v>
                </c:pt>
              </c:numCache>
            </c:numRef>
          </c:val>
          <c:smooth val="1"/>
          <c:extLst>
            <c:ext xmlns:c16="http://schemas.microsoft.com/office/drawing/2014/chart" uri="{C3380CC4-5D6E-409C-BE32-E72D297353CC}">
              <c16:uniqueId val="{00000001-1F78-4FDF-97E5-15CD170A2FD6}"/>
            </c:ext>
          </c:extLst>
        </c:ser>
        <c:ser>
          <c:idx val="0"/>
          <c:order val="2"/>
          <c:tx>
            <c:strRef>
              <c:f>'Power Flows'!$T$20</c:f>
              <c:strCache>
                <c:ptCount val="1"/>
                <c:pt idx="0">
                  <c:v>Solar generation</c:v>
                </c:pt>
              </c:strCache>
            </c:strRef>
          </c:tx>
          <c:spPr>
            <a:ln>
              <a:solidFill>
                <a:schemeClr val="accent4"/>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Flows'!$T$23:$T$46</c:f>
              <c:numCache>
                <c:formatCode>0.00</c:formatCode>
                <c:ptCount val="24"/>
                <c:pt idx="0">
                  <c:v>0</c:v>
                </c:pt>
                <c:pt idx="1">
                  <c:v>0</c:v>
                </c:pt>
                <c:pt idx="2">
                  <c:v>0</c:v>
                </c:pt>
                <c:pt idx="3">
                  <c:v>0</c:v>
                </c:pt>
                <c:pt idx="4">
                  <c:v>0</c:v>
                </c:pt>
                <c:pt idx="5">
                  <c:v>0</c:v>
                </c:pt>
                <c:pt idx="6">
                  <c:v>0</c:v>
                </c:pt>
                <c:pt idx="7">
                  <c:v>0.44377488602576814</c:v>
                </c:pt>
                <c:pt idx="8">
                  <c:v>0.99849349355797812</c:v>
                </c:pt>
                <c:pt idx="9">
                  <c:v>2.1236645454905845</c:v>
                </c:pt>
                <c:pt idx="10">
                  <c:v>0</c:v>
                </c:pt>
                <c:pt idx="11">
                  <c:v>0</c:v>
                </c:pt>
                <c:pt idx="12">
                  <c:v>0</c:v>
                </c:pt>
                <c:pt idx="13">
                  <c:v>0</c:v>
                </c:pt>
                <c:pt idx="14">
                  <c:v>0</c:v>
                </c:pt>
                <c:pt idx="15">
                  <c:v>0</c:v>
                </c:pt>
                <c:pt idx="16">
                  <c:v>1.7750995441030726</c:v>
                </c:pt>
                <c:pt idx="17">
                  <c:v>1.0949136733399403</c:v>
                </c:pt>
                <c:pt idx="18">
                  <c:v>0.48662829926219575</c:v>
                </c:pt>
                <c:pt idx="19">
                  <c:v>0</c:v>
                </c:pt>
                <c:pt idx="20">
                  <c:v>0</c:v>
                </c:pt>
                <c:pt idx="21">
                  <c:v>0</c:v>
                </c:pt>
                <c:pt idx="22">
                  <c:v>0</c:v>
                </c:pt>
                <c:pt idx="23">
                  <c:v>0</c:v>
                </c:pt>
              </c:numCache>
            </c:numRef>
          </c:val>
          <c:smooth val="1"/>
          <c:extLst>
            <c:ext xmlns:c16="http://schemas.microsoft.com/office/drawing/2014/chart" uri="{C3380CC4-5D6E-409C-BE32-E72D297353CC}">
              <c16:uniqueId val="{00000002-1F78-4FDF-97E5-15CD170A2FD6}"/>
            </c:ext>
          </c:extLst>
        </c:ser>
        <c:ser>
          <c:idx val="1"/>
          <c:order val="3"/>
          <c:tx>
            <c:strRef>
              <c:f>'Power Flows'!$V$20</c:f>
              <c:strCache>
                <c:ptCount val="1"/>
                <c:pt idx="0">
                  <c:v>Solar export</c:v>
                </c:pt>
              </c:strCache>
            </c:strRef>
          </c:tx>
          <c:spPr>
            <a:ln>
              <a:solidFill>
                <a:srgbClr val="FF0000"/>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Flows'!$V$23:$V$46</c:f>
              <c:numCache>
                <c:formatCode>0.00</c:formatCode>
                <c:ptCount val="24"/>
                <c:pt idx="0">
                  <c:v>0</c:v>
                </c:pt>
                <c:pt idx="1">
                  <c:v>0</c:v>
                </c:pt>
                <c:pt idx="2">
                  <c:v>0</c:v>
                </c:pt>
                <c:pt idx="3">
                  <c:v>0</c:v>
                </c:pt>
                <c:pt idx="4">
                  <c:v>0</c:v>
                </c:pt>
                <c:pt idx="5">
                  <c:v>0</c:v>
                </c:pt>
                <c:pt idx="6">
                  <c:v>0</c:v>
                </c:pt>
                <c:pt idx="7">
                  <c:v>0</c:v>
                </c:pt>
                <c:pt idx="8">
                  <c:v>0.24529349355797803</c:v>
                </c:pt>
                <c:pt idx="9">
                  <c:v>1.6215312121572509</c:v>
                </c:pt>
                <c:pt idx="10">
                  <c:v>0</c:v>
                </c:pt>
                <c:pt idx="11">
                  <c:v>0</c:v>
                </c:pt>
                <c:pt idx="12">
                  <c:v>0</c:v>
                </c:pt>
                <c:pt idx="13">
                  <c:v>0</c:v>
                </c:pt>
                <c:pt idx="14">
                  <c:v>0</c:v>
                </c:pt>
                <c:pt idx="15">
                  <c:v>0</c:v>
                </c:pt>
                <c:pt idx="16">
                  <c:v>0.51976621076973895</c:v>
                </c:pt>
                <c:pt idx="17">
                  <c:v>0</c:v>
                </c:pt>
                <c:pt idx="18">
                  <c:v>0</c:v>
                </c:pt>
                <c:pt idx="19">
                  <c:v>0</c:v>
                </c:pt>
                <c:pt idx="20">
                  <c:v>0</c:v>
                </c:pt>
                <c:pt idx="21">
                  <c:v>0</c:v>
                </c:pt>
                <c:pt idx="22">
                  <c:v>0</c:v>
                </c:pt>
                <c:pt idx="23">
                  <c:v>0</c:v>
                </c:pt>
              </c:numCache>
            </c:numRef>
          </c:val>
          <c:smooth val="1"/>
          <c:extLst>
            <c:ext xmlns:c16="http://schemas.microsoft.com/office/drawing/2014/chart" uri="{C3380CC4-5D6E-409C-BE32-E72D297353CC}">
              <c16:uniqueId val="{00000003-1F78-4FDF-97E5-15CD170A2FD6}"/>
            </c:ext>
          </c:extLst>
        </c:ser>
        <c:dLbls>
          <c:showLegendKey val="0"/>
          <c:showVal val="0"/>
          <c:showCatName val="0"/>
          <c:showSerName val="0"/>
          <c:showPercent val="0"/>
          <c:showBubbleSize val="0"/>
        </c:dLbls>
        <c:marker val="1"/>
        <c:smooth val="0"/>
        <c:axId val="-1397523088"/>
        <c:axId val="-1397520528"/>
      </c:lineChart>
      <c:lineChart>
        <c:grouping val="standard"/>
        <c:varyColors val="0"/>
        <c:ser>
          <c:idx val="3"/>
          <c:order val="4"/>
          <c:tx>
            <c:v>Grid Voltage</c:v>
          </c:tx>
          <c:spPr>
            <a:ln>
              <a:solidFill>
                <a:srgbClr val="00B050"/>
              </a:solidFill>
            </a:ln>
          </c:spPr>
          <c:marker>
            <c:symbol val="none"/>
          </c:marker>
          <c:val>
            <c:numRef>
              <c:f>Profiles!$E$32:$E$55</c:f>
              <c:numCache>
                <c:formatCode>0.0</c:formatCode>
                <c:ptCount val="24"/>
                <c:pt idx="0">
                  <c:v>255</c:v>
                </c:pt>
                <c:pt idx="1">
                  <c:v>255</c:v>
                </c:pt>
                <c:pt idx="2">
                  <c:v>255</c:v>
                </c:pt>
                <c:pt idx="3">
                  <c:v>255</c:v>
                </c:pt>
                <c:pt idx="4">
                  <c:v>255</c:v>
                </c:pt>
                <c:pt idx="5">
                  <c:v>253</c:v>
                </c:pt>
                <c:pt idx="6">
                  <c:v>254</c:v>
                </c:pt>
                <c:pt idx="7">
                  <c:v>255</c:v>
                </c:pt>
                <c:pt idx="8">
                  <c:v>255</c:v>
                </c:pt>
                <c:pt idx="9">
                  <c:v>253</c:v>
                </c:pt>
                <c:pt idx="10">
                  <c:v>256</c:v>
                </c:pt>
                <c:pt idx="11">
                  <c:v>257</c:v>
                </c:pt>
                <c:pt idx="12">
                  <c:v>257</c:v>
                </c:pt>
                <c:pt idx="13">
                  <c:v>257</c:v>
                </c:pt>
                <c:pt idx="14">
                  <c:v>256</c:v>
                </c:pt>
                <c:pt idx="15">
                  <c:v>256</c:v>
                </c:pt>
                <c:pt idx="16">
                  <c:v>255</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0-5B6B-4CA2-91E0-93D25536F198}"/>
            </c:ext>
          </c:extLst>
        </c:ser>
        <c:ser>
          <c:idx val="5"/>
          <c:order val="5"/>
          <c:tx>
            <c:v>Inverter Voltage</c:v>
          </c:tx>
          <c:spPr>
            <a:ln>
              <a:solidFill>
                <a:srgbClr val="00B050">
                  <a:alpha val="39000"/>
                </a:srgbClr>
              </a:solidFill>
            </a:ln>
          </c:spPr>
          <c:marker>
            <c:symbol val="none"/>
          </c:marker>
          <c:val>
            <c:numRef>
              <c:f>'Power Flows'!$Z$23:$Z$46</c:f>
              <c:numCache>
                <c:formatCode>0</c:formatCode>
                <c:ptCount val="24"/>
                <c:pt idx="0">
                  <c:v>255</c:v>
                </c:pt>
                <c:pt idx="1">
                  <c:v>255</c:v>
                </c:pt>
                <c:pt idx="2">
                  <c:v>255</c:v>
                </c:pt>
                <c:pt idx="3">
                  <c:v>255</c:v>
                </c:pt>
                <c:pt idx="4">
                  <c:v>255</c:v>
                </c:pt>
                <c:pt idx="5">
                  <c:v>253</c:v>
                </c:pt>
                <c:pt idx="6">
                  <c:v>254</c:v>
                </c:pt>
                <c:pt idx="7">
                  <c:v>255</c:v>
                </c:pt>
                <c:pt idx="8">
                  <c:v>255.36553540216482</c:v>
                </c:pt>
                <c:pt idx="9">
                  <c:v>255.43550142537453</c:v>
                </c:pt>
                <c:pt idx="10">
                  <c:v>256</c:v>
                </c:pt>
                <c:pt idx="11">
                  <c:v>257</c:v>
                </c:pt>
                <c:pt idx="12">
                  <c:v>257</c:v>
                </c:pt>
                <c:pt idx="13">
                  <c:v>257</c:v>
                </c:pt>
                <c:pt idx="14">
                  <c:v>256</c:v>
                </c:pt>
                <c:pt idx="15">
                  <c:v>256</c:v>
                </c:pt>
                <c:pt idx="16">
                  <c:v>255.7745535689902</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2-5B6B-4CA2-91E0-93D25536F198}"/>
            </c:ext>
          </c:extLst>
        </c:ser>
        <c:dLbls>
          <c:showLegendKey val="0"/>
          <c:showVal val="0"/>
          <c:showCatName val="0"/>
          <c:showSerName val="0"/>
          <c:showPercent val="0"/>
          <c:showBubbleSize val="0"/>
        </c:dLbls>
        <c:marker val="1"/>
        <c:smooth val="0"/>
        <c:axId val="1666351855"/>
        <c:axId val="1547609007"/>
      </c:lineChart>
      <c:catAx>
        <c:axId val="-1397523088"/>
        <c:scaling>
          <c:orientation val="minMax"/>
        </c:scaling>
        <c:delete val="0"/>
        <c:axPos val="b"/>
        <c:numFmt formatCode="h: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7520528"/>
        <c:crosses val="autoZero"/>
        <c:auto val="1"/>
        <c:lblAlgn val="ctr"/>
        <c:lblOffset val="100"/>
        <c:noMultiLvlLbl val="1"/>
      </c:catAx>
      <c:valAx>
        <c:axId val="-13975205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AU"/>
                  <a:t>Power Flow (kW)</a:t>
                </a:r>
              </a:p>
            </c:rich>
          </c:tx>
          <c:overlay val="0"/>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97523088"/>
        <c:crosses val="autoZero"/>
        <c:crossBetween val="between"/>
      </c:valAx>
      <c:valAx>
        <c:axId val="1547609007"/>
        <c:scaling>
          <c:orientation val="minMax"/>
          <c:min val="215"/>
        </c:scaling>
        <c:delete val="0"/>
        <c:axPos val="r"/>
        <c:title>
          <c:tx>
            <c:rich>
              <a:bodyPr/>
              <a:lstStyle/>
              <a:p>
                <a:pPr>
                  <a:defRPr/>
                </a:pPr>
                <a:r>
                  <a:rPr lang="en-AU"/>
                  <a:t>Voltage</a:t>
                </a:r>
              </a:p>
            </c:rich>
          </c:tx>
          <c:overlay val="0"/>
        </c:title>
        <c:numFmt formatCode="0.0" sourceLinked="1"/>
        <c:majorTickMark val="out"/>
        <c:minorTickMark val="none"/>
        <c:tickLblPos val="nextTo"/>
        <c:txPr>
          <a:bodyPr/>
          <a:lstStyle/>
          <a:p>
            <a:pPr>
              <a:defRPr sz="900"/>
            </a:pPr>
            <a:endParaRPr lang="en-US"/>
          </a:p>
        </c:txPr>
        <c:crossAx val="1666351855"/>
        <c:crosses val="max"/>
        <c:crossBetween val="between"/>
      </c:valAx>
      <c:catAx>
        <c:axId val="1666351855"/>
        <c:scaling>
          <c:orientation val="minMax"/>
        </c:scaling>
        <c:delete val="1"/>
        <c:axPos val="b"/>
        <c:majorTickMark val="out"/>
        <c:minorTickMark val="none"/>
        <c:tickLblPos val="nextTo"/>
        <c:crossAx val="154760900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Powerflows - With</a:t>
            </a:r>
            <a:r>
              <a:rPr lang="en-AU" baseline="0"/>
              <a:t> </a:t>
            </a:r>
            <a:r>
              <a:rPr lang="en-AU"/>
              <a:t>EIQ </a:t>
            </a:r>
          </a:p>
        </c:rich>
      </c:tx>
      <c:layout>
        <c:manualLayout>
          <c:xMode val="edge"/>
          <c:yMode val="edge"/>
          <c:x val="0.29509481668773702"/>
          <c:y val="3.1434184675835003E-2"/>
        </c:manualLayout>
      </c:layout>
      <c:overlay val="0"/>
      <c:spPr>
        <a:noFill/>
        <a:ln>
          <a:noFill/>
        </a:ln>
        <a:effectLst/>
      </c:spPr>
    </c:title>
    <c:autoTitleDeleted val="0"/>
    <c:plotArea>
      <c:layout/>
      <c:lineChart>
        <c:grouping val="standard"/>
        <c:varyColors val="0"/>
        <c:ser>
          <c:idx val="2"/>
          <c:order val="0"/>
          <c:tx>
            <c:strRef>
              <c:f>'Power Flows'!$K$141</c:f>
              <c:strCache>
                <c:ptCount val="1"/>
                <c:pt idx="0">
                  <c:v>Energy consumption</c:v>
                </c:pt>
              </c:strCache>
            </c:strRef>
          </c:tx>
          <c:spPr>
            <a:ln>
              <a:solidFill>
                <a:schemeClr val="tx1"/>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Flows'!$K$144:$K$167</c:f>
              <c:numCache>
                <c:formatCode>0.00</c:formatCode>
                <c:ptCount val="24"/>
                <c:pt idx="0">
                  <c:v>0.23881298664393297</c:v>
                </c:pt>
                <c:pt idx="1">
                  <c:v>0.23881298664393297</c:v>
                </c:pt>
                <c:pt idx="2">
                  <c:v>0.23881298664393297</c:v>
                </c:pt>
                <c:pt idx="3">
                  <c:v>0.23881298664393297</c:v>
                </c:pt>
                <c:pt idx="4">
                  <c:v>0.23881298664393297</c:v>
                </c:pt>
                <c:pt idx="5">
                  <c:v>0.24050667926906114</c:v>
                </c:pt>
                <c:pt idx="6">
                  <c:v>2.249836520434946</c:v>
                </c:pt>
                <c:pt idx="7">
                  <c:v>2.6903014005602244</c:v>
                </c:pt>
                <c:pt idx="8">
                  <c:v>0.67950911663634539</c:v>
                </c:pt>
                <c:pt idx="9">
                  <c:v>0.46097113526570055</c:v>
                </c:pt>
                <c:pt idx="10">
                  <c:v>0.45612078993055566</c:v>
                </c:pt>
                <c:pt idx="11">
                  <c:v>0.45452917207090365</c:v>
                </c:pt>
                <c:pt idx="12">
                  <c:v>0.45452917207090365</c:v>
                </c:pt>
                <c:pt idx="13">
                  <c:v>0.45452917207090365</c:v>
                </c:pt>
                <c:pt idx="14">
                  <c:v>0.45612078993055566</c:v>
                </c:pt>
                <c:pt idx="15">
                  <c:v>0.45612078993055566</c:v>
                </c:pt>
                <c:pt idx="16">
                  <c:v>1.1209589169000937</c:v>
                </c:pt>
                <c:pt idx="17">
                  <c:v>1.7998692163479568</c:v>
                </c:pt>
                <c:pt idx="18">
                  <c:v>2.6998038245219349</c:v>
                </c:pt>
                <c:pt idx="19">
                  <c:v>2.6903014005602244</c:v>
                </c:pt>
                <c:pt idx="20">
                  <c:v>1.7935342670401497</c:v>
                </c:pt>
                <c:pt idx="21">
                  <c:v>1.3451507002801122</c:v>
                </c:pt>
                <c:pt idx="22">
                  <c:v>0.67950911663634539</c:v>
                </c:pt>
                <c:pt idx="23">
                  <c:v>0.23881298664393297</c:v>
                </c:pt>
              </c:numCache>
            </c:numRef>
          </c:val>
          <c:smooth val="1"/>
          <c:extLst>
            <c:ext xmlns:c16="http://schemas.microsoft.com/office/drawing/2014/chart" uri="{C3380CC4-5D6E-409C-BE32-E72D297353CC}">
              <c16:uniqueId val="{00000000-1D8B-42DA-B2DB-2FD3AB8C0C41}"/>
            </c:ext>
          </c:extLst>
        </c:ser>
        <c:ser>
          <c:idx val="4"/>
          <c:order val="1"/>
          <c:tx>
            <c:strRef>
              <c:f>'Power Flows'!$U$141</c:f>
              <c:strCache>
                <c:ptCount val="1"/>
                <c:pt idx="0">
                  <c:v>Grid consumption</c:v>
                </c:pt>
              </c:strCache>
            </c:strRef>
          </c:tx>
          <c:spPr>
            <a:ln>
              <a:solidFill>
                <a:srgbClr val="00B0F0"/>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Flows'!$U$144:$U$167</c:f>
              <c:numCache>
                <c:formatCode>0.00</c:formatCode>
                <c:ptCount val="24"/>
                <c:pt idx="0">
                  <c:v>0.23881298664393297</c:v>
                </c:pt>
                <c:pt idx="1">
                  <c:v>0.23881298664393297</c:v>
                </c:pt>
                <c:pt idx="2">
                  <c:v>0.23881298664393297</c:v>
                </c:pt>
                <c:pt idx="3">
                  <c:v>0.23881298664393297</c:v>
                </c:pt>
                <c:pt idx="4">
                  <c:v>0.23881298664393297</c:v>
                </c:pt>
                <c:pt idx="5">
                  <c:v>0.24050667926906114</c:v>
                </c:pt>
                <c:pt idx="6">
                  <c:v>2.249836520434946</c:v>
                </c:pt>
                <c:pt idx="7">
                  <c:v>2.0179152096120907</c:v>
                </c:pt>
                <c:pt idx="8">
                  <c:v>0</c:v>
                </c:pt>
                <c:pt idx="9">
                  <c:v>0</c:v>
                </c:pt>
                <c:pt idx="10">
                  <c:v>0</c:v>
                </c:pt>
                <c:pt idx="11">
                  <c:v>0</c:v>
                </c:pt>
                <c:pt idx="12">
                  <c:v>0</c:v>
                </c:pt>
                <c:pt idx="13">
                  <c:v>0</c:v>
                </c:pt>
                <c:pt idx="14">
                  <c:v>0</c:v>
                </c:pt>
                <c:pt idx="15">
                  <c:v>0</c:v>
                </c:pt>
                <c:pt idx="16">
                  <c:v>0</c:v>
                </c:pt>
                <c:pt idx="17">
                  <c:v>0.28700028671465683</c:v>
                </c:pt>
                <c:pt idx="18">
                  <c:v>2.0274176335738012</c:v>
                </c:pt>
                <c:pt idx="19">
                  <c:v>2.6903014005602244</c:v>
                </c:pt>
                <c:pt idx="20">
                  <c:v>1.7935342670401497</c:v>
                </c:pt>
                <c:pt idx="21">
                  <c:v>1.3451507002801122</c:v>
                </c:pt>
                <c:pt idx="22">
                  <c:v>0.67950911663634539</c:v>
                </c:pt>
                <c:pt idx="23">
                  <c:v>0.23881298664393297</c:v>
                </c:pt>
              </c:numCache>
            </c:numRef>
          </c:val>
          <c:smooth val="1"/>
          <c:extLst>
            <c:ext xmlns:c16="http://schemas.microsoft.com/office/drawing/2014/chart" uri="{C3380CC4-5D6E-409C-BE32-E72D297353CC}">
              <c16:uniqueId val="{00000001-1D8B-42DA-B2DB-2FD3AB8C0C41}"/>
            </c:ext>
          </c:extLst>
        </c:ser>
        <c:ser>
          <c:idx val="0"/>
          <c:order val="2"/>
          <c:tx>
            <c:strRef>
              <c:f>'Power Flows'!$T$141</c:f>
              <c:strCache>
                <c:ptCount val="1"/>
                <c:pt idx="0">
                  <c:v>Solar generation</c:v>
                </c:pt>
              </c:strCache>
            </c:strRef>
          </c:tx>
          <c:spPr>
            <a:ln>
              <a:solidFill>
                <a:schemeClr val="accent4"/>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Flows'!$T$144:$T$167</c:f>
              <c:numCache>
                <c:formatCode>0.00</c:formatCode>
                <c:ptCount val="24"/>
                <c:pt idx="0">
                  <c:v>0</c:v>
                </c:pt>
                <c:pt idx="1">
                  <c:v>0</c:v>
                </c:pt>
                <c:pt idx="2">
                  <c:v>0</c:v>
                </c:pt>
                <c:pt idx="3">
                  <c:v>0</c:v>
                </c:pt>
                <c:pt idx="4">
                  <c:v>0</c:v>
                </c:pt>
                <c:pt idx="5">
                  <c:v>0</c:v>
                </c:pt>
                <c:pt idx="6">
                  <c:v>0</c:v>
                </c:pt>
                <c:pt idx="7">
                  <c:v>0.67238619094813346</c:v>
                </c:pt>
                <c:pt idx="8">
                  <c:v>1.5128689296333</c:v>
                </c:pt>
                <c:pt idx="9">
                  <c:v>2.6895447637925338</c:v>
                </c:pt>
                <c:pt idx="10">
                  <c:v>3.6981240502147341</c:v>
                </c:pt>
                <c:pt idx="11">
                  <c:v>4.0343171456888012</c:v>
                </c:pt>
                <c:pt idx="12">
                  <c:v>4.202413693425834</c:v>
                </c:pt>
                <c:pt idx="13">
                  <c:v>4.202413693425834</c:v>
                </c:pt>
                <c:pt idx="14">
                  <c:v>4.0343171456888012</c:v>
                </c:pt>
                <c:pt idx="15">
                  <c:v>3.6981240502147341</c:v>
                </c:pt>
                <c:pt idx="16">
                  <c:v>2.6895447637925338</c:v>
                </c:pt>
                <c:pt idx="17">
                  <c:v>1.5128689296333</c:v>
                </c:pt>
                <c:pt idx="18">
                  <c:v>0.67238619094813346</c:v>
                </c:pt>
                <c:pt idx="19">
                  <c:v>0</c:v>
                </c:pt>
                <c:pt idx="20">
                  <c:v>0</c:v>
                </c:pt>
                <c:pt idx="21">
                  <c:v>0</c:v>
                </c:pt>
                <c:pt idx="22">
                  <c:v>0</c:v>
                </c:pt>
                <c:pt idx="23">
                  <c:v>0</c:v>
                </c:pt>
              </c:numCache>
            </c:numRef>
          </c:val>
          <c:smooth val="1"/>
          <c:extLst>
            <c:ext xmlns:c16="http://schemas.microsoft.com/office/drawing/2014/chart" uri="{C3380CC4-5D6E-409C-BE32-E72D297353CC}">
              <c16:uniqueId val="{00000002-1D8B-42DA-B2DB-2FD3AB8C0C41}"/>
            </c:ext>
          </c:extLst>
        </c:ser>
        <c:ser>
          <c:idx val="1"/>
          <c:order val="3"/>
          <c:tx>
            <c:strRef>
              <c:f>'Power Flows'!$V$141</c:f>
              <c:strCache>
                <c:ptCount val="1"/>
                <c:pt idx="0">
                  <c:v>Solar export</c:v>
                </c:pt>
              </c:strCache>
            </c:strRef>
          </c:tx>
          <c:spPr>
            <a:ln>
              <a:solidFill>
                <a:srgbClr val="FF0000"/>
              </a:solidFill>
            </a:ln>
          </c:spPr>
          <c:marker>
            <c:symbol val="none"/>
          </c:marker>
          <c:cat>
            <c:numRef>
              <c:f>'Power Flows'!$B$23:$B$46</c:f>
              <c:numCache>
                <c:formatCode>h:mm</c:formatCode>
                <c:ptCount val="24"/>
                <c:pt idx="0">
                  <c:v>0</c:v>
                </c:pt>
                <c:pt idx="1">
                  <c:v>4.1666666666666664E-2</c:v>
                </c:pt>
                <c:pt idx="2">
                  <c:v>8.3333333333333329E-2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'Power Flows'!$V$144:$V$167</c:f>
              <c:numCache>
                <c:formatCode>0.00</c:formatCode>
                <c:ptCount val="24"/>
                <c:pt idx="0">
                  <c:v>0</c:v>
                </c:pt>
                <c:pt idx="1">
                  <c:v>0</c:v>
                </c:pt>
                <c:pt idx="2">
                  <c:v>0</c:v>
                </c:pt>
                <c:pt idx="3">
                  <c:v>0</c:v>
                </c:pt>
                <c:pt idx="4">
                  <c:v>0</c:v>
                </c:pt>
                <c:pt idx="5">
                  <c:v>0</c:v>
                </c:pt>
                <c:pt idx="6">
                  <c:v>0</c:v>
                </c:pt>
                <c:pt idx="7">
                  <c:v>0</c:v>
                </c:pt>
                <c:pt idx="8">
                  <c:v>0.83335981299695461</c:v>
                </c:pt>
                <c:pt idx="9">
                  <c:v>2.2285736285268332</c:v>
                </c:pt>
                <c:pt idx="10">
                  <c:v>3.2420032602841786</c:v>
                </c:pt>
                <c:pt idx="11">
                  <c:v>3.5797879736178975</c:v>
                </c:pt>
                <c:pt idx="12">
                  <c:v>3.7478845213549303</c:v>
                </c:pt>
                <c:pt idx="13">
                  <c:v>3.7478845213549303</c:v>
                </c:pt>
                <c:pt idx="14">
                  <c:v>3.5781963557582457</c:v>
                </c:pt>
                <c:pt idx="15">
                  <c:v>3.2420032602841786</c:v>
                </c:pt>
                <c:pt idx="16">
                  <c:v>1.5685858468924401</c:v>
                </c:pt>
                <c:pt idx="17">
                  <c:v>0</c:v>
                </c:pt>
                <c:pt idx="18">
                  <c:v>0</c:v>
                </c:pt>
                <c:pt idx="19">
                  <c:v>0</c:v>
                </c:pt>
                <c:pt idx="20">
                  <c:v>0</c:v>
                </c:pt>
                <c:pt idx="21">
                  <c:v>0</c:v>
                </c:pt>
                <c:pt idx="22">
                  <c:v>0</c:v>
                </c:pt>
                <c:pt idx="23">
                  <c:v>0</c:v>
                </c:pt>
              </c:numCache>
            </c:numRef>
          </c:val>
          <c:smooth val="1"/>
          <c:extLst>
            <c:ext xmlns:c16="http://schemas.microsoft.com/office/drawing/2014/chart" uri="{C3380CC4-5D6E-409C-BE32-E72D297353CC}">
              <c16:uniqueId val="{00000003-1D8B-42DA-B2DB-2FD3AB8C0C41}"/>
            </c:ext>
          </c:extLst>
        </c:ser>
        <c:dLbls>
          <c:showLegendKey val="0"/>
          <c:showVal val="0"/>
          <c:showCatName val="0"/>
          <c:showSerName val="0"/>
          <c:showPercent val="0"/>
          <c:showBubbleSize val="0"/>
        </c:dLbls>
        <c:marker val="1"/>
        <c:smooth val="0"/>
        <c:axId val="-1362873136"/>
        <c:axId val="-1398745936"/>
      </c:lineChart>
      <c:lineChart>
        <c:grouping val="standard"/>
        <c:varyColors val="0"/>
        <c:ser>
          <c:idx val="5"/>
          <c:order val="4"/>
          <c:tx>
            <c:v>Grid Voltage</c:v>
          </c:tx>
          <c:spPr>
            <a:ln>
              <a:solidFill>
                <a:srgbClr val="00B050"/>
              </a:solidFill>
            </a:ln>
          </c:spPr>
          <c:marker>
            <c:symbol val="none"/>
          </c:marker>
          <c:val>
            <c:numRef>
              <c:f>Profiles!$E$32:$E$55</c:f>
              <c:numCache>
                <c:formatCode>0.0</c:formatCode>
                <c:ptCount val="24"/>
                <c:pt idx="0">
                  <c:v>255</c:v>
                </c:pt>
                <c:pt idx="1">
                  <c:v>255</c:v>
                </c:pt>
                <c:pt idx="2">
                  <c:v>255</c:v>
                </c:pt>
                <c:pt idx="3">
                  <c:v>255</c:v>
                </c:pt>
                <c:pt idx="4">
                  <c:v>255</c:v>
                </c:pt>
                <c:pt idx="5">
                  <c:v>253</c:v>
                </c:pt>
                <c:pt idx="6">
                  <c:v>254</c:v>
                </c:pt>
                <c:pt idx="7">
                  <c:v>255</c:v>
                </c:pt>
                <c:pt idx="8">
                  <c:v>255</c:v>
                </c:pt>
                <c:pt idx="9">
                  <c:v>253</c:v>
                </c:pt>
                <c:pt idx="10">
                  <c:v>256</c:v>
                </c:pt>
                <c:pt idx="11">
                  <c:v>257</c:v>
                </c:pt>
                <c:pt idx="12">
                  <c:v>257</c:v>
                </c:pt>
                <c:pt idx="13">
                  <c:v>257</c:v>
                </c:pt>
                <c:pt idx="14">
                  <c:v>256</c:v>
                </c:pt>
                <c:pt idx="15">
                  <c:v>256</c:v>
                </c:pt>
                <c:pt idx="16">
                  <c:v>255</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1-9DB5-4772-91AC-265B6CD7DFA0}"/>
            </c:ext>
          </c:extLst>
        </c:ser>
        <c:ser>
          <c:idx val="3"/>
          <c:order val="5"/>
          <c:tx>
            <c:v>EIQ Voltage</c:v>
          </c:tx>
          <c:spPr>
            <a:ln>
              <a:solidFill>
                <a:srgbClr val="7030A0"/>
              </a:solidFill>
            </a:ln>
          </c:spPr>
          <c:marker>
            <c:symbol val="none"/>
          </c:marker>
          <c:val>
            <c:numRef>
              <c:f>Profiles!$Q$4:$Q$26</c:f>
              <c:numCache>
                <c:formatCode>General</c:formatCode>
                <c:ptCount val="23"/>
              </c:numCache>
            </c:numRef>
          </c:val>
          <c:smooth val="1"/>
          <c:extLst>
            <c:ext xmlns:c16="http://schemas.microsoft.com/office/drawing/2014/chart" uri="{C3380CC4-5D6E-409C-BE32-E72D297353CC}">
              <c16:uniqueId val="{00000000-9DB5-4772-91AC-265B6CD7DFA0}"/>
            </c:ext>
          </c:extLst>
        </c:ser>
        <c:ser>
          <c:idx val="6"/>
          <c:order val="6"/>
          <c:tx>
            <c:v>Inverter Voltage</c:v>
          </c:tx>
          <c:spPr>
            <a:ln>
              <a:solidFill>
                <a:srgbClr val="00B050">
                  <a:alpha val="50000"/>
                </a:srgbClr>
              </a:solidFill>
            </a:ln>
          </c:spPr>
          <c:marker>
            <c:symbol val="none"/>
          </c:marker>
          <c:val>
            <c:numRef>
              <c:f>'Power Flows'!$Z$23:$Z$46</c:f>
              <c:numCache>
                <c:formatCode>0</c:formatCode>
                <c:ptCount val="24"/>
                <c:pt idx="0">
                  <c:v>255</c:v>
                </c:pt>
                <c:pt idx="1">
                  <c:v>255</c:v>
                </c:pt>
                <c:pt idx="2">
                  <c:v>255</c:v>
                </c:pt>
                <c:pt idx="3">
                  <c:v>255</c:v>
                </c:pt>
                <c:pt idx="4">
                  <c:v>255</c:v>
                </c:pt>
                <c:pt idx="5">
                  <c:v>253</c:v>
                </c:pt>
                <c:pt idx="6">
                  <c:v>254</c:v>
                </c:pt>
                <c:pt idx="7">
                  <c:v>255</c:v>
                </c:pt>
                <c:pt idx="8">
                  <c:v>255.36553540216482</c:v>
                </c:pt>
                <c:pt idx="9">
                  <c:v>255.43550142537453</c:v>
                </c:pt>
                <c:pt idx="10">
                  <c:v>256</c:v>
                </c:pt>
                <c:pt idx="11">
                  <c:v>257</c:v>
                </c:pt>
                <c:pt idx="12">
                  <c:v>257</c:v>
                </c:pt>
                <c:pt idx="13">
                  <c:v>257</c:v>
                </c:pt>
                <c:pt idx="14">
                  <c:v>256</c:v>
                </c:pt>
                <c:pt idx="15">
                  <c:v>256</c:v>
                </c:pt>
                <c:pt idx="16">
                  <c:v>255.7745535689902</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2-9DB5-4772-91AC-265B6CD7DFA0}"/>
            </c:ext>
          </c:extLst>
        </c:ser>
        <c:dLbls>
          <c:showLegendKey val="0"/>
          <c:showVal val="0"/>
          <c:showCatName val="0"/>
          <c:showSerName val="0"/>
          <c:showPercent val="0"/>
          <c:showBubbleSize val="0"/>
        </c:dLbls>
        <c:marker val="1"/>
        <c:smooth val="0"/>
        <c:axId val="1694297695"/>
        <c:axId val="1686312287"/>
      </c:lineChart>
      <c:catAx>
        <c:axId val="-1362873136"/>
        <c:scaling>
          <c:orientation val="minMax"/>
        </c:scaling>
        <c:delete val="0"/>
        <c:axPos val="b"/>
        <c:numFmt formatCode="h: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8745936"/>
        <c:crosses val="autoZero"/>
        <c:auto val="1"/>
        <c:lblAlgn val="ctr"/>
        <c:lblOffset val="100"/>
        <c:noMultiLvlLbl val="1"/>
      </c:catAx>
      <c:valAx>
        <c:axId val="-139874593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AU"/>
                  <a:t>Power Flow (kW)</a:t>
                </a:r>
              </a:p>
            </c:rich>
          </c:tx>
          <c:overlay val="0"/>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62873136"/>
        <c:crosses val="autoZero"/>
        <c:crossBetween val="between"/>
      </c:valAx>
      <c:valAx>
        <c:axId val="1686312287"/>
        <c:scaling>
          <c:orientation val="minMax"/>
          <c:max val="265"/>
          <c:min val="215"/>
        </c:scaling>
        <c:delete val="0"/>
        <c:axPos val="r"/>
        <c:title>
          <c:tx>
            <c:rich>
              <a:bodyPr/>
              <a:lstStyle/>
              <a:p>
                <a:pPr>
                  <a:defRPr/>
                </a:pPr>
                <a:r>
                  <a:rPr lang="en-AU"/>
                  <a:t>Voltage</a:t>
                </a:r>
              </a:p>
            </c:rich>
          </c:tx>
          <c:overlay val="0"/>
        </c:title>
        <c:numFmt formatCode="0.0" sourceLinked="1"/>
        <c:majorTickMark val="out"/>
        <c:minorTickMark val="none"/>
        <c:tickLblPos val="nextTo"/>
        <c:txPr>
          <a:bodyPr/>
          <a:lstStyle/>
          <a:p>
            <a:pPr>
              <a:defRPr sz="900"/>
            </a:pPr>
            <a:endParaRPr lang="en-US"/>
          </a:p>
        </c:txPr>
        <c:crossAx val="1694297695"/>
        <c:crosses val="max"/>
        <c:crossBetween val="between"/>
      </c:valAx>
      <c:catAx>
        <c:axId val="1694297695"/>
        <c:scaling>
          <c:orientation val="minMax"/>
        </c:scaling>
        <c:delete val="1"/>
        <c:axPos val="b"/>
        <c:majorTickMark val="out"/>
        <c:minorTickMark val="none"/>
        <c:tickLblPos val="nextTo"/>
        <c:crossAx val="168631228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EdgeIQ Efficiency Curve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Profiles!$C$58</c:f>
              <c:strCache>
                <c:ptCount val="1"/>
                <c:pt idx="0">
                  <c:v>Efficiency</c:v>
                </c:pt>
              </c:strCache>
            </c:strRef>
          </c:tx>
          <c:spPr>
            <a:ln w="28575" cap="rnd">
              <a:solidFill>
                <a:schemeClr val="accent2"/>
              </a:solidFill>
              <a:round/>
            </a:ln>
            <a:effectLst/>
          </c:spPr>
          <c:marker>
            <c:symbol val="none"/>
          </c:marker>
          <c:cat>
            <c:numRef>
              <c:f>Profiles!$B$59:$B$88</c:f>
              <c:numCache>
                <c:formatCode>General</c:formatCode>
                <c:ptCount val="30"/>
                <c:pt idx="0">
                  <c:v>0</c:v>
                </c:pt>
                <c:pt idx="1">
                  <c:v>0.1</c:v>
                </c:pt>
                <c:pt idx="2">
                  <c:v>0.2</c:v>
                </c:pt>
                <c:pt idx="3">
                  <c:v>0.3</c:v>
                </c:pt>
                <c:pt idx="4">
                  <c:v>0.4</c:v>
                </c:pt>
                <c:pt idx="5">
                  <c:v>0.5</c:v>
                </c:pt>
                <c:pt idx="6">
                  <c:v>0.6</c:v>
                </c:pt>
                <c:pt idx="7">
                  <c:v>0.7</c:v>
                </c:pt>
                <c:pt idx="8">
                  <c:v>0.8</c:v>
                </c:pt>
                <c:pt idx="9">
                  <c:v>0.9</c:v>
                </c:pt>
                <c:pt idx="10">
                  <c:v>1</c:v>
                </c:pt>
                <c:pt idx="11">
                  <c:v>1.5</c:v>
                </c:pt>
                <c:pt idx="12">
                  <c:v>1.6</c:v>
                </c:pt>
                <c:pt idx="13">
                  <c:v>1.7</c:v>
                </c:pt>
                <c:pt idx="14">
                  <c:v>1.8</c:v>
                </c:pt>
                <c:pt idx="15">
                  <c:v>1.9</c:v>
                </c:pt>
                <c:pt idx="16">
                  <c:v>2</c:v>
                </c:pt>
                <c:pt idx="17">
                  <c:v>2</c:v>
                </c:pt>
                <c:pt idx="18">
                  <c:v>2.1</c:v>
                </c:pt>
                <c:pt idx="19">
                  <c:v>2.4</c:v>
                </c:pt>
                <c:pt idx="20">
                  <c:v>2.6</c:v>
                </c:pt>
                <c:pt idx="21">
                  <c:v>2.7</c:v>
                </c:pt>
                <c:pt idx="22">
                  <c:v>2.8</c:v>
                </c:pt>
                <c:pt idx="23">
                  <c:v>2.9</c:v>
                </c:pt>
                <c:pt idx="24">
                  <c:v>3</c:v>
                </c:pt>
                <c:pt idx="25">
                  <c:v>3.1</c:v>
                </c:pt>
                <c:pt idx="26">
                  <c:v>3.2</c:v>
                </c:pt>
                <c:pt idx="27">
                  <c:v>4</c:v>
                </c:pt>
                <c:pt idx="28">
                  <c:v>4.0999999999999996</c:v>
                </c:pt>
                <c:pt idx="29">
                  <c:v>5</c:v>
                </c:pt>
              </c:numCache>
            </c:numRef>
          </c:cat>
          <c:val>
            <c:numRef>
              <c:f>Profiles!$C$59:$C$88</c:f>
              <c:numCache>
                <c:formatCode>0%</c:formatCode>
                <c:ptCount val="30"/>
                <c:pt idx="0">
                  <c:v>0</c:v>
                </c:pt>
                <c:pt idx="1">
                  <c:v>0.85</c:v>
                </c:pt>
                <c:pt idx="2">
                  <c:v>0.92</c:v>
                </c:pt>
                <c:pt idx="3">
                  <c:v>0.94</c:v>
                </c:pt>
                <c:pt idx="4">
                  <c:v>0.96</c:v>
                </c:pt>
                <c:pt idx="5">
                  <c:v>0.96</c:v>
                </c:pt>
                <c:pt idx="6">
                  <c:v>0.97</c:v>
                </c:pt>
                <c:pt idx="7">
                  <c:v>0.97</c:v>
                </c:pt>
                <c:pt idx="8">
                  <c:v>0.97</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numCache>
            </c:numRef>
          </c:val>
          <c:smooth val="0"/>
          <c:extLst>
            <c:ext xmlns:c16="http://schemas.microsoft.com/office/drawing/2014/chart" uri="{C3380CC4-5D6E-409C-BE32-E72D297353CC}">
              <c16:uniqueId val="{00000001-6BCD-450E-B7C1-2DBB76A51B80}"/>
            </c:ext>
          </c:extLst>
        </c:ser>
        <c:dLbls>
          <c:showLegendKey val="0"/>
          <c:showVal val="0"/>
          <c:showCatName val="0"/>
          <c:showSerName val="0"/>
          <c:showPercent val="0"/>
          <c:showBubbleSize val="0"/>
        </c:dLbls>
        <c:smooth val="0"/>
        <c:axId val="601382080"/>
        <c:axId val="859646144"/>
      </c:lineChart>
      <c:catAx>
        <c:axId val="601382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9646144"/>
        <c:crosses val="autoZero"/>
        <c:auto val="1"/>
        <c:lblAlgn val="ctr"/>
        <c:lblOffset val="100"/>
        <c:noMultiLvlLbl val="0"/>
      </c:catAx>
      <c:valAx>
        <c:axId val="8596461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1382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Averag</a:t>
            </a:r>
            <a:r>
              <a:rPr lang="en-AU" baseline="0"/>
              <a:t>e Voltage Profile</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Profiles!$E$32:$E$55</c:f>
              <c:numCache>
                <c:formatCode>0.0</c:formatCode>
                <c:ptCount val="24"/>
                <c:pt idx="0">
                  <c:v>255</c:v>
                </c:pt>
                <c:pt idx="1">
                  <c:v>255</c:v>
                </c:pt>
                <c:pt idx="2">
                  <c:v>255</c:v>
                </c:pt>
                <c:pt idx="3">
                  <c:v>255</c:v>
                </c:pt>
                <c:pt idx="4">
                  <c:v>255</c:v>
                </c:pt>
                <c:pt idx="5">
                  <c:v>253</c:v>
                </c:pt>
                <c:pt idx="6">
                  <c:v>254</c:v>
                </c:pt>
                <c:pt idx="7">
                  <c:v>255</c:v>
                </c:pt>
                <c:pt idx="8">
                  <c:v>255</c:v>
                </c:pt>
                <c:pt idx="9">
                  <c:v>253</c:v>
                </c:pt>
                <c:pt idx="10">
                  <c:v>256</c:v>
                </c:pt>
                <c:pt idx="11">
                  <c:v>257</c:v>
                </c:pt>
                <c:pt idx="12">
                  <c:v>257</c:v>
                </c:pt>
                <c:pt idx="13">
                  <c:v>257</c:v>
                </c:pt>
                <c:pt idx="14">
                  <c:v>256</c:v>
                </c:pt>
                <c:pt idx="15">
                  <c:v>256</c:v>
                </c:pt>
                <c:pt idx="16">
                  <c:v>255</c:v>
                </c:pt>
                <c:pt idx="17">
                  <c:v>254</c:v>
                </c:pt>
                <c:pt idx="18">
                  <c:v>254</c:v>
                </c:pt>
                <c:pt idx="19">
                  <c:v>255</c:v>
                </c:pt>
                <c:pt idx="20">
                  <c:v>255</c:v>
                </c:pt>
                <c:pt idx="21">
                  <c:v>255</c:v>
                </c:pt>
                <c:pt idx="22">
                  <c:v>255</c:v>
                </c:pt>
                <c:pt idx="23">
                  <c:v>255</c:v>
                </c:pt>
              </c:numCache>
            </c:numRef>
          </c:val>
          <c:smooth val="1"/>
          <c:extLst>
            <c:ext xmlns:c16="http://schemas.microsoft.com/office/drawing/2014/chart" uri="{C3380CC4-5D6E-409C-BE32-E72D297353CC}">
              <c16:uniqueId val="{00000000-DCB1-4112-BDF0-FEA1BE780C75}"/>
            </c:ext>
          </c:extLst>
        </c:ser>
        <c:dLbls>
          <c:showLegendKey val="0"/>
          <c:showVal val="0"/>
          <c:showCatName val="0"/>
          <c:showSerName val="0"/>
          <c:showPercent val="0"/>
          <c:showBubbleSize val="0"/>
        </c:dLbls>
        <c:smooth val="0"/>
        <c:axId val="1646337935"/>
        <c:axId val="1690281327"/>
      </c:lineChart>
      <c:catAx>
        <c:axId val="16463379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0281327"/>
        <c:crosses val="autoZero"/>
        <c:auto val="1"/>
        <c:lblAlgn val="ctr"/>
        <c:lblOffset val="100"/>
        <c:noMultiLvlLbl val="0"/>
      </c:catAx>
      <c:valAx>
        <c:axId val="16902813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63379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10.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1787102</xdr:colOff>
      <xdr:row>5</xdr:row>
      <xdr:rowOff>35155</xdr:rowOff>
    </xdr:from>
    <xdr:to>
      <xdr:col>2</xdr:col>
      <xdr:colOff>2888173</xdr:colOff>
      <xdr:row>12</xdr:row>
      <xdr:rowOff>210083</xdr:rowOff>
    </xdr:to>
    <xdr:grpSp>
      <xdr:nvGrpSpPr>
        <xdr:cNvPr id="6" name="Group 5">
          <a:extLst>
            <a:ext uri="{FF2B5EF4-FFF2-40B4-BE49-F238E27FC236}">
              <a16:creationId xmlns:a16="http://schemas.microsoft.com/office/drawing/2014/main" id="{03A2CA71-8928-44E0-A6ED-A25C87F2AEFB}"/>
            </a:ext>
          </a:extLst>
        </xdr:cNvPr>
        <xdr:cNvGrpSpPr/>
      </xdr:nvGrpSpPr>
      <xdr:grpSpPr>
        <a:xfrm>
          <a:off x="5828423" y="1021674"/>
          <a:ext cx="1101071" cy="1556052"/>
          <a:chOff x="2082097" y="1663139"/>
          <a:chExt cx="1102430" cy="1594151"/>
        </a:xfrm>
      </xdr:grpSpPr>
      <xdr:sp macro="" textlink="">
        <xdr:nvSpPr>
          <xdr:cNvPr id="7" name="Oval 6">
            <a:extLst>
              <a:ext uri="{FF2B5EF4-FFF2-40B4-BE49-F238E27FC236}">
                <a16:creationId xmlns:a16="http://schemas.microsoft.com/office/drawing/2014/main" id="{22780110-74E3-45E6-BFA4-6C78CB00504D}"/>
              </a:ext>
            </a:extLst>
          </xdr:cNvPr>
          <xdr:cNvSpPr/>
        </xdr:nvSpPr>
        <xdr:spPr>
          <a:xfrm flipH="1">
            <a:off x="2108378" y="1971090"/>
            <a:ext cx="1049868" cy="1049650"/>
          </a:xfrm>
          <a:prstGeom prst="ellipse">
            <a:avLst/>
          </a:prstGeom>
          <a:solidFill>
            <a:srgbClr val="15AFDC"/>
          </a:solidFill>
          <a:ln w="101600">
            <a:solidFill>
              <a:srgbClr val="15AFDC">
                <a:alpha val="50000"/>
              </a:srgbClr>
            </a:solidFill>
          </a:ln>
        </xdr:spPr>
        <xdr:style>
          <a:lnRef idx="0">
            <a:schemeClr val="lt1">
              <a:hueOff val="0"/>
              <a:satOff val="0"/>
              <a:lumOff val="0"/>
              <a:alphaOff val="0"/>
            </a:schemeClr>
          </a:lnRef>
          <a:fillRef idx="1">
            <a:scrgbClr r="0" g="0" b="0"/>
          </a:fillRef>
          <a:effectRef idx="2">
            <a:schemeClr val="accent1">
              <a:tint val="50000"/>
              <a:hueOff val="0"/>
              <a:satOff val="0"/>
              <a:lumOff val="0"/>
              <a:alphaOff val="0"/>
            </a:schemeClr>
          </a:effectRef>
          <a:fontRef idx="minor">
            <a:schemeClr val="lt1">
              <a:hueOff val="0"/>
              <a:satOff val="0"/>
              <a:lumOff val="0"/>
              <a:alphaOff val="0"/>
            </a:schemeClr>
          </a:fontRef>
        </xdr:style>
        <xdr:txBody>
          <a:bodyPr wrap="square"/>
          <a:lstStyle/>
          <a:p>
            <a:endParaRPr lang="en-AU"/>
          </a:p>
        </xdr:txBody>
      </xdr:sp>
      <xdr:pic>
        <xdr:nvPicPr>
          <xdr:cNvPr id="8" name="Picture 7">
            <a:extLst>
              <a:ext uri="{FF2B5EF4-FFF2-40B4-BE49-F238E27FC236}">
                <a16:creationId xmlns:a16="http://schemas.microsoft.com/office/drawing/2014/main" id="{1B7691B8-CF18-4116-913D-27420894C61C}"/>
              </a:ext>
            </a:extLst>
          </xdr:cNvPr>
          <xdr:cNvPicPr>
            <a:picLocks noChangeAspect="1"/>
          </xdr:cNvPicPr>
        </xdr:nvPicPr>
        <xdr:blipFill>
          <a:blip xmlns:r="http://schemas.openxmlformats.org/officeDocument/2006/relationships" r:embed="rId1" cstate="screen">
            <a:extLst>
              <a:ext uri="{BEBA8EAE-BF5A-486C-A8C5-ECC9F3942E4B}">
                <a14:imgProps xmlns:a14="http://schemas.microsoft.com/office/drawing/2010/main">
                  <a14:imgLayer r:embed="rId2">
                    <a14:imgEffect>
                      <a14:backgroundRemoval t="290" b="93333" l="3006" r="96994">
                        <a14:foregroundMark x1="37275" y1="74493" x2="15431" y2="55072"/>
                        <a14:foregroundMark x1="38076" y1="80870" x2="39479" y2="89855"/>
                        <a14:foregroundMark x1="92986" y1="42899" x2="92786" y2="36232"/>
                        <a14:foregroundMark x1="97194" y1="26957" x2="97194" y2="47536"/>
                        <a14:foregroundMark x1="73347" y1="8986" x2="61523" y2="8116"/>
                        <a14:foregroundMark x1="70140" y1="3478" x2="66533" y2="290"/>
                        <a14:foregroundMark x1="9218" y1="63478" x2="30461" y2="88696"/>
                        <a14:foregroundMark x1="32866" y1="88696" x2="29259" y2="93623"/>
                        <a14:foregroundMark x1="8818" y1="59420" x2="3006" y2="70725"/>
                        <a14:foregroundMark x1="5010" y1="60000" x2="5611" y2="70725"/>
                      </a14:backgroundRemoval>
                    </a14:imgEffect>
                  </a14:imgLayer>
                </a14:imgProps>
              </a:ext>
              <a:ext uri="{28A0092B-C50C-407E-A947-70E740481C1C}">
                <a14:useLocalDpi xmlns:a14="http://schemas.microsoft.com/office/drawing/2010/main"/>
              </a:ext>
            </a:extLst>
          </a:blip>
          <a:stretch>
            <a:fillRect/>
          </a:stretch>
        </xdr:blipFill>
        <xdr:spPr>
          <a:xfrm rot="18368578">
            <a:off x="1836236" y="1909000"/>
            <a:ext cx="1594151" cy="1102430"/>
          </a:xfrm>
          <a:prstGeom prst="rect">
            <a:avLst/>
          </a:prstGeom>
        </xdr:spPr>
      </xdr:pic>
    </xdr:grpSp>
    <xdr:clientData/>
  </xdr:twoCellAnchor>
  <xdr:twoCellAnchor editAs="oneCell">
    <xdr:from>
      <xdr:col>2</xdr:col>
      <xdr:colOff>1763196</xdr:colOff>
      <xdr:row>1</xdr:row>
      <xdr:rowOff>29004</xdr:rowOff>
    </xdr:from>
    <xdr:to>
      <xdr:col>2</xdr:col>
      <xdr:colOff>2922905</xdr:colOff>
      <xdr:row>4</xdr:row>
      <xdr:rowOff>11627</xdr:rowOff>
    </xdr:to>
    <xdr:pic>
      <xdr:nvPicPr>
        <xdr:cNvPr id="12" name="Picture 11">
          <a:extLst>
            <a:ext uri="{FF2B5EF4-FFF2-40B4-BE49-F238E27FC236}">
              <a16:creationId xmlns:a16="http://schemas.microsoft.com/office/drawing/2014/main" id="{6D6987E1-695D-4E31-970A-4729B8501888}"/>
            </a:ext>
          </a:extLst>
        </xdr:cNvPr>
        <xdr:cNvPicPr>
          <a:picLocks noChangeAspect="1"/>
        </xdr:cNvPicPr>
      </xdr:nvPicPr>
      <xdr:blipFill>
        <a:blip xmlns:r="http://schemas.openxmlformats.org/officeDocument/2006/relationships" r:embed="rId3"/>
        <a:stretch>
          <a:fillRect/>
        </a:stretch>
      </xdr:blipFill>
      <xdr:spPr>
        <a:xfrm>
          <a:off x="5798332" y="228164"/>
          <a:ext cx="1159709" cy="580099"/>
        </a:xfrm>
        <a:prstGeom prst="rect">
          <a:avLst/>
        </a:prstGeom>
      </xdr:spPr>
    </xdr:pic>
    <xdr:clientData/>
  </xdr:twoCellAnchor>
  <xdr:twoCellAnchor>
    <xdr:from>
      <xdr:col>5</xdr:col>
      <xdr:colOff>673100</xdr:colOff>
      <xdr:row>13</xdr:row>
      <xdr:rowOff>243542</xdr:rowOff>
    </xdr:from>
    <xdr:to>
      <xdr:col>13</xdr:col>
      <xdr:colOff>254000</xdr:colOff>
      <xdr:row>21</xdr:row>
      <xdr:rowOff>101600</xdr:rowOff>
    </xdr:to>
    <xdr:graphicFrame macro="">
      <xdr:nvGraphicFramePr>
        <xdr:cNvPr id="9" name="Chart 8">
          <a:extLst>
            <a:ext uri="{FF2B5EF4-FFF2-40B4-BE49-F238E27FC236}">
              <a16:creationId xmlns:a16="http://schemas.microsoft.com/office/drawing/2014/main" id="{A23F3A0A-8D8C-4B30-A04D-CEEC86A84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246061</xdr:colOff>
      <xdr:row>31</xdr:row>
      <xdr:rowOff>152400</xdr:rowOff>
    </xdr:from>
    <xdr:to>
      <xdr:col>13</xdr:col>
      <xdr:colOff>663864</xdr:colOff>
      <xdr:row>43</xdr:row>
      <xdr:rowOff>71581</xdr:rowOff>
    </xdr:to>
    <xdr:graphicFrame macro="">
      <xdr:nvGraphicFramePr>
        <xdr:cNvPr id="11" name="Chart 10">
          <a:extLst>
            <a:ext uri="{FF2B5EF4-FFF2-40B4-BE49-F238E27FC236}">
              <a16:creationId xmlns:a16="http://schemas.microsoft.com/office/drawing/2014/main" id="{07896C12-CCD0-43B9-B9E8-A4F51F2EF8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241300</xdr:colOff>
      <xdr:row>21</xdr:row>
      <xdr:rowOff>114300</xdr:rowOff>
    </xdr:from>
    <xdr:to>
      <xdr:col>13</xdr:col>
      <xdr:colOff>622300</xdr:colOff>
      <xdr:row>32</xdr:row>
      <xdr:rowOff>0</xdr:rowOff>
    </xdr:to>
    <xdr:graphicFrame macro="">
      <xdr:nvGraphicFramePr>
        <xdr:cNvPr id="10" name="Chart 9">
          <a:extLst>
            <a:ext uri="{FF2B5EF4-FFF2-40B4-BE49-F238E27FC236}">
              <a16:creationId xmlns:a16="http://schemas.microsoft.com/office/drawing/2014/main" id="{33CCD09A-B80C-40C3-85DA-F33AE1A66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41</xdr:row>
      <xdr:rowOff>170088</xdr:rowOff>
    </xdr:from>
    <xdr:to>
      <xdr:col>4</xdr:col>
      <xdr:colOff>13607</xdr:colOff>
      <xdr:row>52</xdr:row>
      <xdr:rowOff>176892</xdr:rowOff>
    </xdr:to>
    <xdr:sp macro="" textlink="">
      <xdr:nvSpPr>
        <xdr:cNvPr id="2" name="TextBox 1">
          <a:extLst>
            <a:ext uri="{FF2B5EF4-FFF2-40B4-BE49-F238E27FC236}">
              <a16:creationId xmlns:a16="http://schemas.microsoft.com/office/drawing/2014/main" id="{060005E0-492C-4E36-9770-2EB6D12E9F30}"/>
            </a:ext>
          </a:extLst>
        </xdr:cNvPr>
        <xdr:cNvSpPr txBox="1"/>
      </xdr:nvSpPr>
      <xdr:spPr>
        <a:xfrm>
          <a:off x="4041321" y="11130642"/>
          <a:ext cx="4612822" cy="2177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a:t>Disclaimer:</a:t>
          </a:r>
        </a:p>
        <a:p>
          <a:r>
            <a:rPr lang="en-AU" sz="1200" i="1">
              <a:solidFill>
                <a:schemeClr val="dk1"/>
              </a:solidFill>
              <a:effectLst/>
              <a:latin typeface="+mn-lt"/>
              <a:ea typeface="+mn-ea"/>
              <a:cs typeface="+mn-cs"/>
            </a:rPr>
            <a:t>Saving estimates in the calculator are based upon the information provided by you. If you do not provide information taken from your electricity bill, or real world voltage from an energy monitor(edgeConX), voltage reader or equivalent, this could impact the savings estimates and the saving estimates in the model will be less accurate than actual. Any actual savings will depend on individual circumstances and may vary from the estimates. For a breakdown on EdgeElectrons savings methodology for electricity reduction, solar saving, appliance &amp; surge protection please refer to the following (</a:t>
          </a:r>
          <a:r>
            <a:rPr lang="en-AU" sz="1200" i="1" u="sng">
              <a:solidFill>
                <a:schemeClr val="dk1"/>
              </a:solidFill>
              <a:effectLst/>
              <a:latin typeface="+mn-lt"/>
              <a:ea typeface="+mn-ea"/>
              <a:cs typeface="+mn-cs"/>
              <a:hlinkClick xmlns:r="http://schemas.openxmlformats.org/officeDocument/2006/relationships" r:id=""/>
            </a:rPr>
            <a:t>link</a:t>
          </a:r>
          <a:r>
            <a:rPr lang="en-AU" sz="1200" i="1">
              <a:solidFill>
                <a:schemeClr val="dk1"/>
              </a:solidFill>
              <a:effectLst/>
              <a:latin typeface="+mn-lt"/>
              <a:ea typeface="+mn-ea"/>
              <a:cs typeface="+mn-cs"/>
            </a:rPr>
            <a:t>). Edge Electrons does not guarantee any saving.</a:t>
          </a:r>
          <a:endParaRPr lang="en-AU"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13607</xdr:colOff>
      <xdr:row>10</xdr:row>
      <xdr:rowOff>40821</xdr:rowOff>
    </xdr:from>
    <xdr:to>
      <xdr:col>6</xdr:col>
      <xdr:colOff>502228</xdr:colOff>
      <xdr:row>27</xdr:row>
      <xdr:rowOff>190500</xdr:rowOff>
    </xdr:to>
    <xdr:graphicFrame macro="">
      <xdr:nvGraphicFramePr>
        <xdr:cNvPr id="2" name="Chart 1">
          <a:extLst>
            <a:ext uri="{FF2B5EF4-FFF2-40B4-BE49-F238E27FC236}">
              <a16:creationId xmlns:a16="http://schemas.microsoft.com/office/drawing/2014/main" id="{5FADCE3D-83FC-4D42-A275-B3408E580F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34</xdr:col>
      <xdr:colOff>145852</xdr:colOff>
      <xdr:row>29</xdr:row>
      <xdr:rowOff>48218</xdr:rowOff>
    </xdr:from>
    <xdr:to>
      <xdr:col>40</xdr:col>
      <xdr:colOff>354211</xdr:colOff>
      <xdr:row>43</xdr:row>
      <xdr:rowOff>76795</xdr:rowOff>
    </xdr:to>
    <xdr:graphicFrame macro="">
      <xdr:nvGraphicFramePr>
        <xdr:cNvPr id="6" name="Chart 5">
          <a:extLst>
            <a:ext uri="{FF2B5EF4-FFF2-40B4-BE49-F238E27FC236}">
              <a16:creationId xmlns:a16="http://schemas.microsoft.com/office/drawing/2014/main" id="{16C8794D-7DA4-4A3D-A14E-0AA1FC64BF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55</xdr:row>
      <xdr:rowOff>114299</xdr:rowOff>
    </xdr:from>
    <xdr:to>
      <xdr:col>4</xdr:col>
      <xdr:colOff>1190625</xdr:colOff>
      <xdr:row>75</xdr:row>
      <xdr:rowOff>49211</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314011</xdr:colOff>
      <xdr:row>55</xdr:row>
      <xdr:rowOff>87713</xdr:rowOff>
    </xdr:from>
    <xdr:to>
      <xdr:col>11</xdr:col>
      <xdr:colOff>369433</xdr:colOff>
      <xdr:row>75</xdr:row>
      <xdr:rowOff>17863</xdr:rowOff>
    </xdr:to>
    <xdr:graphicFrame macro="">
      <xdr:nvGraphicFramePr>
        <xdr:cNvPr id="11" name="Chart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669726</xdr:colOff>
      <xdr:row>89</xdr:row>
      <xdr:rowOff>24406</xdr:rowOff>
    </xdr:from>
    <xdr:to>
      <xdr:col>3</xdr:col>
      <xdr:colOff>2062757</xdr:colOff>
      <xdr:row>105</xdr:row>
      <xdr:rowOff>100606</xdr:rowOff>
    </xdr:to>
    <xdr:graphicFrame macro="">
      <xdr:nvGraphicFramePr>
        <xdr:cNvPr id="3" name="Chart 2">
          <a:extLst>
            <a:ext uri="{FF2B5EF4-FFF2-40B4-BE49-F238E27FC236}">
              <a16:creationId xmlns:a16="http://schemas.microsoft.com/office/drawing/2014/main" id="{78138523-5BAE-4166-89B5-A8C959C1DA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881062</xdr:colOff>
      <xdr:row>36</xdr:row>
      <xdr:rowOff>2380</xdr:rowOff>
    </xdr:from>
    <xdr:to>
      <xdr:col>9</xdr:col>
      <xdr:colOff>464344</xdr:colOff>
      <xdr:row>51</xdr:row>
      <xdr:rowOff>61912</xdr:rowOff>
    </xdr:to>
    <xdr:graphicFrame macro="">
      <xdr:nvGraphicFramePr>
        <xdr:cNvPr id="2" name="Chart 1">
          <a:extLst>
            <a:ext uri="{FF2B5EF4-FFF2-40B4-BE49-F238E27FC236}">
              <a16:creationId xmlns:a16="http://schemas.microsoft.com/office/drawing/2014/main" id="{F06BD967-B286-48D3-845D-DBA775F69F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209550</xdr:colOff>
      <xdr:row>3</xdr:row>
      <xdr:rowOff>38100</xdr:rowOff>
    </xdr:from>
    <xdr:to>
      <xdr:col>20</xdr:col>
      <xdr:colOff>581025</xdr:colOff>
      <xdr:row>20</xdr:row>
      <xdr:rowOff>182912</xdr:rowOff>
    </xdr:to>
    <xdr:pic>
      <xdr:nvPicPr>
        <xdr:cNvPr id="2" name="Picture 1">
          <a:extLst>
            <a:ext uri="{FF2B5EF4-FFF2-40B4-BE49-F238E27FC236}">
              <a16:creationId xmlns:a16="http://schemas.microsoft.com/office/drawing/2014/main" id="{AAA9EC49-8EA6-401A-ACF6-EEDE3324E437}"/>
            </a:ext>
          </a:extLst>
        </xdr:cNvPr>
        <xdr:cNvPicPr>
          <a:picLocks noChangeAspect="1"/>
        </xdr:cNvPicPr>
      </xdr:nvPicPr>
      <xdr:blipFill>
        <a:blip xmlns:r="http://schemas.openxmlformats.org/officeDocument/2006/relationships" r:embed="rId1"/>
        <a:stretch>
          <a:fillRect/>
        </a:stretch>
      </xdr:blipFill>
      <xdr:spPr>
        <a:xfrm>
          <a:off x="9144000" y="638175"/>
          <a:ext cx="5172075" cy="3545237"/>
        </a:xfrm>
        <a:prstGeom prst="rect">
          <a:avLst/>
        </a:prstGeom>
      </xdr:spPr>
    </xdr:pic>
    <xdr:clientData/>
  </xdr:twoCellAnchor>
  <xdr:twoCellAnchor>
    <xdr:from>
      <xdr:col>8</xdr:col>
      <xdr:colOff>414338</xdr:colOff>
      <xdr:row>0</xdr:row>
      <xdr:rowOff>133350</xdr:rowOff>
    </xdr:from>
    <xdr:to>
      <xdr:col>13</xdr:col>
      <xdr:colOff>257175</xdr:colOff>
      <xdr:row>14</xdr:row>
      <xdr:rowOff>76200</xdr:rowOff>
    </xdr:to>
    <xdr:graphicFrame macro="">
      <xdr:nvGraphicFramePr>
        <xdr:cNvPr id="3" name="Chart 2">
          <a:extLst>
            <a:ext uri="{FF2B5EF4-FFF2-40B4-BE49-F238E27FC236}">
              <a16:creationId xmlns:a16="http://schemas.microsoft.com/office/drawing/2014/main" id="{B1763D6F-D6EB-449B-AE3A-01132DEF1C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287691</xdr:colOff>
      <xdr:row>0</xdr:row>
      <xdr:rowOff>0</xdr:rowOff>
    </xdr:from>
    <xdr:to>
      <xdr:col>14</xdr:col>
      <xdr:colOff>7280</xdr:colOff>
      <xdr:row>21</xdr:row>
      <xdr:rowOff>10588</xdr:rowOff>
    </xdr:to>
    <xdr:pic>
      <xdr:nvPicPr>
        <xdr:cNvPr id="4" name="Picture 3">
          <a:extLst>
            <a:ext uri="{FF2B5EF4-FFF2-40B4-BE49-F238E27FC236}">
              <a16:creationId xmlns:a16="http://schemas.microsoft.com/office/drawing/2014/main" id="{B327F615-F9FD-42FE-8815-04F2D3E3B454}"/>
            </a:ext>
          </a:extLst>
        </xdr:cNvPr>
        <xdr:cNvPicPr>
          <a:picLocks noChangeAspect="1"/>
        </xdr:cNvPicPr>
      </xdr:nvPicPr>
      <xdr:blipFill>
        <a:blip xmlns:r="http://schemas.openxmlformats.org/officeDocument/2006/relationships" r:embed="rId3"/>
        <a:stretch>
          <a:fillRect/>
        </a:stretch>
      </xdr:blipFill>
      <xdr:spPr>
        <a:xfrm>
          <a:off x="4421541" y="0"/>
          <a:ext cx="5205989" cy="421111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M20:AN22" totalsRowShown="0">
  <autoFilter ref="AM20:AN22" xr:uid="{00000000-0009-0000-0100-000005000000}">
    <filterColumn colId="0" hiddenButton="1"/>
    <filterColumn colId="1" hiddenButton="1"/>
  </autoFilter>
  <tableColumns count="2">
    <tableColumn id="1" xr3:uid="{00000000-0010-0000-0300-000001000000}" name="Voltage (V)"/>
    <tableColumn id="2" xr3:uid="{00000000-0010-0000-0300-000002000000}" name="Chatter Occurrence">
      <calculatedColumnFormula>40/60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826BF5B-355F-4602-A1D9-F095E28459CC}" name="Table9" displayName="Table9" ref="B5:H9" totalsRowShown="0" headerRowDxfId="37" dataDxfId="36" headerRowCellStyle="Normal 35" dataCellStyle="Comma">
  <autoFilter ref="B5:H9" xr:uid="{338186FA-2D80-4BB7-91CA-C34D247C6FA2}"/>
  <tableColumns count="7">
    <tableColumn id="1" xr3:uid="{0120E4B2-F8C5-4C9C-BCA5-96B25B2C72A1}" name="kwh" dataDxfId="35" dataCellStyle="Normal 35"/>
    <tableColumn id="2" xr3:uid="{30432E2E-1422-45FC-9113-52E8A4207EAD}" name="CVR" dataDxfId="34" dataCellStyle="Comma"/>
    <tableColumn id="3" xr3:uid="{F22F763C-E1DC-4A37-A057-9DD55442E4C2}" name="MPPT" dataDxfId="33" dataCellStyle="Comma"/>
    <tableColumn id="4" xr3:uid="{EC4D5AE6-FA4E-450E-8810-5E0BCC985AEC}" name="OVLO" dataDxfId="32" dataCellStyle="Comma"/>
    <tableColumn id="5" xr3:uid="{E72BA9C5-A2E2-4E72-899B-E9BCB1BBE55E}" name="Chatter" dataDxfId="31" dataCellStyle="Comma"/>
    <tableColumn id="6" xr3:uid="{B50F1BE3-16DE-4938-B524-D3E0420B17AC}" name="VW" dataDxfId="30" dataCellStyle="Normal 35">
      <calculatedColumnFormula>(AH22-AH143)*$C$18</calculatedColumnFormula>
    </tableColumn>
    <tableColumn id="7" xr3:uid="{AE9B848D-1D39-4ACF-9EE4-641EEDC6CDF9}" name="Total" dataDxfId="29" dataCellStyle="Comma">
      <calculatedColumnFormula>SUM(C6:G6)</calculatedColumnFormula>
    </tableColumn>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le2" displayName="Table2" ref="B16:C18" totalsRowShown="0" dataDxfId="28">
  <autoFilter ref="B16:C18" xr:uid="{00000000-0009-0000-0100-000002000000}"/>
  <tableColumns count="2">
    <tableColumn id="1" xr3:uid="{00000000-0010-0000-0500-000001000000}" name="Regression parameters for Appliance Protection cals " dataDxfId="27"/>
    <tableColumn id="2" xr3:uid="{00000000-0010-0000-0500-000002000000}" name="#" dataDxfId="2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383422E-0040-480F-8D0A-9486A49E92D9}" name="Table813" displayName="Table813" ref="Y4:Z34" totalsRowShown="0" headerRowDxfId="25" dataDxfId="24">
  <autoFilter ref="Y4:Z34" xr:uid="{8557D78B-0D84-4AFE-9246-C822E30BF181}"/>
  <tableColumns count="2">
    <tableColumn id="1" xr3:uid="{36A0ED98-BA27-46B4-B0D2-ACA37940FD87}" name="Pload, W" dataDxfId="23"/>
    <tableColumn id="2" xr3:uid="{A2D1B310-3697-42E0-9990-49447E9294D4}" name="Eff" dataDxfId="2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E9FA349-A949-4DA4-A754-3F0BC405F601}" name="Table7" displayName="Table7" ref="B16:C18" totalsRowShown="0" dataDxfId="21" dataCellStyle="Comma">
  <autoFilter ref="B16:C18" xr:uid="{510D9E4A-9BDA-4F04-BDA5-9B9C0CFA183A}"/>
  <tableColumns count="2">
    <tableColumn id="1" xr3:uid="{A001702D-92EE-41B2-89E8-36D0CFAC187A}" name="Customer" dataDxfId="20" dataCellStyle="Comma"/>
    <tableColumn id="2" xr3:uid="{C134E93B-A121-4AE6-B7D3-BDB19B24AE31}" name="Unit Size" dataDxfId="19" dataCellStyle="Comma"/>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DBCA04F-5E16-447D-B3AD-D64EBE84F003}" name="tariff" displayName="tariff" ref="B2:E9" totalsRowShown="0" tableBorderDxfId="18">
  <autoFilter ref="B2:E9" xr:uid="{459264EC-093E-4192-AE13-2700F0C3C030}"/>
  <tableColumns count="4">
    <tableColumn id="1" xr3:uid="{F6B3A851-31BA-4BEA-820F-74302F8DB0D7}" name="Unit: $/kWh" dataDxfId="17"/>
    <tableColumn id="2" xr3:uid="{6EFFC85D-6CB9-4D20-9A29-5D8CF5E665D0}" name="Energy tariff" dataDxfId="16"/>
    <tableColumn id="3" xr3:uid="{ED79B44B-00BB-441A-AC73-CAF7539F7EC5}" name="Standard FiT" dataDxfId="15"/>
    <tableColumn id="4" xr3:uid="{775B3988-A1B6-4EFB-BCF7-E38A58CB7EE6}" name="Premium FiT" dataDxfId="1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B11:I14" totalsRowShown="0" headerRowDxfId="13" dataDxfId="12" dataCellStyle="Comma">
  <autoFilter ref="B11:I14" xr:uid="{00000000-0009-0000-0100-000004000000}"/>
  <tableColumns count="8">
    <tableColumn id="1" xr3:uid="{00000000-0010-0000-0200-000001000000}" name="System Size (kW)" dataDxfId="11"/>
    <tableColumn id="2" xr3:uid="{00000000-0010-0000-0200-000002000000}" name="NSW" dataDxfId="10" dataCellStyle="Comma"/>
    <tableColumn id="3" xr3:uid="{00000000-0010-0000-0200-000003000000}" name="VIC" dataDxfId="9" dataCellStyle="Comma"/>
    <tableColumn id="4" xr3:uid="{00000000-0010-0000-0200-000004000000}" name="WA" dataDxfId="8" dataCellStyle="Comma"/>
    <tableColumn id="5" xr3:uid="{00000000-0010-0000-0200-000005000000}" name="QLD" dataDxfId="7" dataCellStyle="Comma"/>
    <tableColumn id="6" xr3:uid="{00000000-0010-0000-0200-000006000000}" name="TAS" dataDxfId="6" dataCellStyle="Comma"/>
    <tableColumn id="7" xr3:uid="{00000000-0010-0000-0200-000007000000}" name="SA" dataDxfId="5" dataCellStyle="Comma"/>
    <tableColumn id="8" xr3:uid="{00000000-0010-0000-0200-000008000000}" name="NT" dataDxfId="4" dataCellStyle="Comma"/>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88A039-43D2-41D6-9014-B9F7705BDD5E}" name="VWR" displayName="VWR" ref="B2:C68" totalsRowShown="0">
  <autoFilter ref="B2:C68" xr:uid="{F0B54242-2CD3-45C3-874E-C36C6A30D921}"/>
  <sortState xmlns:xlrd2="http://schemas.microsoft.com/office/spreadsheetml/2017/richdata2" ref="B3:C68">
    <sortCondition descending="1" ref="B2:B68"/>
  </sortState>
  <tableColumns count="2">
    <tableColumn id="1" xr3:uid="{542EE9F1-1CD5-4BC0-A3E4-0B5AD1680D53}" name="Voltage" dataDxfId="3"/>
    <tableColumn id="4" xr3:uid="{CF8AAF97-EE37-4BD0-8F4A-324CFC065095}" name="Power" dataDxfId="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86EF93B-F506-46E0-980C-0B1210B5300D}" name="VVR" displayName="VVR" ref="E2:F68" totalsRowShown="0">
  <autoFilter ref="E2:F68" xr:uid="{BA4F1179-E554-41AF-B665-F3BFB5F59D4F}"/>
  <sortState xmlns:xlrd2="http://schemas.microsoft.com/office/spreadsheetml/2017/richdata2" ref="E3:F68">
    <sortCondition descending="1" ref="E2:E68"/>
  </sortState>
  <tableColumns count="2">
    <tableColumn id="1" xr3:uid="{9865D608-A2CF-45AB-AAF9-3BF246A405F7}" name="Voltage" dataDxfId="1"/>
    <tableColumn id="4" xr3:uid="{271B9D48-1ADE-4BE3-98DE-AE2234341AEC}" name="Power"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2.vml"/><Relationship Id="rId1" Type="http://schemas.openxmlformats.org/officeDocument/2006/relationships/hyperlink" Target="https://solarcalculator.com.au/solar-panel-output/" TargetMode="External"/><Relationship Id="rId6" Type="http://schemas.openxmlformats.org/officeDocument/2006/relationships/comments" Target="../comments2.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6BA32-793F-4E61-96D7-F06D55E88EA4}">
  <dimension ref="A9:S72"/>
  <sheetViews>
    <sheetView tabSelected="1" zoomScale="70" zoomScaleNormal="70" workbookViewId="0">
      <selection activeCell="G47" sqref="G47"/>
    </sheetView>
  </sheetViews>
  <sheetFormatPr defaultRowHeight="15.75"/>
  <cols>
    <col min="1" max="1" width="9" style="156"/>
    <col min="2" max="2" width="44" style="156" customWidth="1"/>
    <col min="3" max="3" width="40.125" style="156" customWidth="1"/>
    <col min="4" max="4" width="20.25" style="156" customWidth="1"/>
    <col min="5" max="5" width="3" style="156" customWidth="1"/>
    <col min="6" max="6" width="9" style="156"/>
    <col min="7" max="7" width="32.375" style="156" customWidth="1"/>
    <col min="8" max="8" width="8.25" style="156" customWidth="1"/>
    <col min="9" max="17" width="9" style="156"/>
    <col min="18" max="18" width="9" style="156" customWidth="1"/>
    <col min="19" max="21" width="9" style="156"/>
    <col min="22" max="22" width="11" style="156" bestFit="1" customWidth="1"/>
    <col min="23" max="23" width="11.5" style="156" bestFit="1" customWidth="1"/>
    <col min="24" max="24" width="11" style="156" bestFit="1" customWidth="1"/>
    <col min="25" max="33" width="11.5" style="156" bestFit="1" customWidth="1"/>
    <col min="34" max="16384" width="9" style="156"/>
  </cols>
  <sheetData>
    <row r="9" spans="3:18">
      <c r="L9" s="159"/>
    </row>
    <row r="10" spans="3:18">
      <c r="M10" s="159"/>
    </row>
    <row r="11" spans="3:18">
      <c r="K11" s="159"/>
      <c r="M11" s="159"/>
    </row>
    <row r="12" spans="3:18">
      <c r="K12" s="213"/>
      <c r="M12" s="159"/>
    </row>
    <row r="13" spans="3:18" ht="22.15" customHeight="1">
      <c r="K13" s="213"/>
      <c r="M13" s="159"/>
    </row>
    <row r="14" spans="3:18" ht="39.4" customHeight="1">
      <c r="C14" s="344" t="s">
        <v>0</v>
      </c>
      <c r="D14" s="345"/>
      <c r="E14" s="161"/>
      <c r="K14" s="213"/>
      <c r="M14" s="159"/>
    </row>
    <row r="15" spans="3:18">
      <c r="K15" s="213"/>
      <c r="M15" s="159"/>
    </row>
    <row r="16" spans="3:18" ht="21.75" customHeight="1">
      <c r="K16" s="213"/>
      <c r="M16" s="159"/>
      <c r="O16" s="159"/>
      <c r="P16" s="159"/>
      <c r="R16" s="159"/>
    </row>
    <row r="17" spans="1:19" ht="25.5">
      <c r="C17" s="158" t="s">
        <v>1</v>
      </c>
      <c r="D17" s="280" t="s">
        <v>221</v>
      </c>
      <c r="K17" s="213"/>
      <c r="M17" s="159"/>
      <c r="P17" s="213"/>
      <c r="Q17" s="159"/>
      <c r="S17" s="159"/>
    </row>
    <row r="18" spans="1:19" ht="21.75" customHeight="1">
      <c r="D18" s="281"/>
      <c r="K18" s="213"/>
      <c r="M18" s="159"/>
      <c r="P18" s="213"/>
      <c r="Q18" s="159"/>
      <c r="S18" s="159"/>
    </row>
    <row r="19" spans="1:19" ht="25.5">
      <c r="C19" s="158" t="s">
        <v>3</v>
      </c>
      <c r="D19" s="280">
        <v>255</v>
      </c>
      <c r="K19" s="213"/>
      <c r="M19" s="159"/>
      <c r="P19" s="213"/>
      <c r="Q19" s="159"/>
      <c r="S19" s="159"/>
    </row>
    <row r="20" spans="1:19" ht="25.5">
      <c r="C20" s="157"/>
      <c r="D20" s="321" t="str">
        <f>IF(D19&gt;257,"Voltage outside code","")</f>
        <v/>
      </c>
      <c r="K20" s="213"/>
      <c r="M20" s="159"/>
      <c r="P20" s="213"/>
      <c r="Q20" s="159"/>
      <c r="S20" s="159"/>
    </row>
    <row r="21" spans="1:19" ht="25.5">
      <c r="C21" s="158" t="s">
        <v>4</v>
      </c>
      <c r="D21" s="280">
        <v>700</v>
      </c>
      <c r="K21" s="213"/>
      <c r="M21" s="159"/>
      <c r="P21" s="213"/>
      <c r="Q21" s="159"/>
      <c r="S21" s="159"/>
    </row>
    <row r="22" spans="1:19" ht="25.5">
      <c r="C22" s="157"/>
      <c r="D22" s="282"/>
      <c r="K22" s="213"/>
      <c r="M22" s="159"/>
      <c r="P22" s="213"/>
      <c r="Q22" s="159"/>
      <c r="S22" s="159"/>
    </row>
    <row r="23" spans="1:19" ht="25.5">
      <c r="C23" s="158" t="s">
        <v>5</v>
      </c>
      <c r="D23" s="280">
        <v>0.24</v>
      </c>
      <c r="K23" s="213"/>
      <c r="M23" s="159"/>
      <c r="P23" s="213"/>
      <c r="Q23" s="159"/>
      <c r="S23" s="159"/>
    </row>
    <row r="24" spans="1:19" ht="25.5">
      <c r="A24" s="228">
        <v>0</v>
      </c>
      <c r="C24" s="157"/>
      <c r="D24" s="282"/>
      <c r="K24" s="213"/>
      <c r="M24" s="159"/>
      <c r="P24" s="213"/>
      <c r="Q24" s="159"/>
      <c r="S24" s="159"/>
    </row>
    <row r="25" spans="1:19" ht="25.5">
      <c r="A25" s="228">
        <v>1</v>
      </c>
      <c r="C25" s="158" t="s">
        <v>6</v>
      </c>
      <c r="D25" s="280">
        <v>7</v>
      </c>
      <c r="K25" s="213"/>
      <c r="M25" s="159"/>
      <c r="P25" s="213"/>
      <c r="Q25" s="159"/>
      <c r="S25" s="159"/>
    </row>
    <row r="26" spans="1:19" ht="21" customHeight="1">
      <c r="A26" s="228">
        <v>2</v>
      </c>
      <c r="C26" s="157"/>
      <c r="D26" s="343" t="str">
        <f>IF(D25&gt;5,"Solar export must be limited to 5 kW","")</f>
        <v>Solar export must be limited to 5 kW</v>
      </c>
      <c r="K26" s="213"/>
      <c r="M26" s="159"/>
      <c r="P26" s="213"/>
      <c r="Q26" s="159"/>
      <c r="S26" s="159"/>
    </row>
    <row r="27" spans="1:19" ht="25.5">
      <c r="A27" s="228">
        <v>3</v>
      </c>
      <c r="C27" s="158" t="s">
        <v>7</v>
      </c>
      <c r="D27" s="280">
        <v>0.12</v>
      </c>
      <c r="F27" s="162"/>
      <c r="K27" s="213"/>
      <c r="M27" s="159"/>
      <c r="P27" s="213"/>
      <c r="Q27" s="159"/>
      <c r="S27" s="159"/>
    </row>
    <row r="28" spans="1:19" ht="24.75" customHeight="1">
      <c r="A28" s="228">
        <v>4</v>
      </c>
      <c r="K28" s="213"/>
      <c r="M28" s="159"/>
      <c r="P28" s="213"/>
      <c r="Q28" s="159"/>
      <c r="S28" s="159"/>
    </row>
    <row r="29" spans="1:19" ht="25.5">
      <c r="A29" s="228">
        <v>5</v>
      </c>
      <c r="C29" s="158" t="s">
        <v>235</v>
      </c>
      <c r="D29" s="280" t="s">
        <v>238</v>
      </c>
      <c r="K29" s="213"/>
      <c r="M29" s="159"/>
      <c r="P29" s="213"/>
      <c r="Q29" s="159"/>
      <c r="S29" s="159"/>
    </row>
    <row r="30" spans="1:19" ht="21.75" customHeight="1">
      <c r="K30" s="213"/>
      <c r="M30" s="159"/>
      <c r="P30" s="159"/>
      <c r="S30" s="159"/>
    </row>
    <row r="31" spans="1:19" ht="24.75" customHeight="1">
      <c r="C31" s="158" t="s">
        <v>247</v>
      </c>
      <c r="D31" s="280" t="s">
        <v>238</v>
      </c>
      <c r="K31" s="213"/>
      <c r="M31" s="159"/>
      <c r="P31" s="159"/>
      <c r="S31" s="159"/>
    </row>
    <row r="32" spans="1:19">
      <c r="F32" s="159"/>
      <c r="K32" s="213"/>
      <c r="M32" s="159"/>
      <c r="P32" s="159"/>
      <c r="S32" s="159"/>
    </row>
    <row r="33" spans="3:19" ht="25.5">
      <c r="C33" s="158" t="s">
        <v>8</v>
      </c>
      <c r="D33" s="231">
        <f>Financials!L24</f>
        <v>200.06791759503704</v>
      </c>
      <c r="E33" s="214"/>
      <c r="F33" s="214"/>
      <c r="K33" s="213"/>
      <c r="M33" s="159"/>
      <c r="P33" s="159"/>
      <c r="S33" s="159"/>
    </row>
    <row r="34" spans="3:19">
      <c r="D34" s="278"/>
      <c r="E34" s="214"/>
      <c r="F34" s="214"/>
      <c r="K34" s="213"/>
      <c r="M34" s="159"/>
      <c r="P34" s="159"/>
      <c r="S34" s="159"/>
    </row>
    <row r="35" spans="3:19" ht="25.5">
      <c r="C35" s="158" t="s">
        <v>9</v>
      </c>
      <c r="D35" s="231">
        <f>Financials!K24</f>
        <v>1397.0918000053443</v>
      </c>
      <c r="E35" s="214"/>
      <c r="F35" s="214"/>
      <c r="G35" s="214"/>
      <c r="K35" s="213"/>
      <c r="M35" s="159"/>
      <c r="P35" s="159"/>
      <c r="S35" s="159"/>
    </row>
    <row r="36" spans="3:19">
      <c r="D36" s="278"/>
      <c r="E36" s="214"/>
      <c r="F36" s="214"/>
      <c r="G36" s="214"/>
      <c r="K36" s="213"/>
      <c r="M36" s="159"/>
      <c r="P36" s="159"/>
      <c r="S36" s="159"/>
    </row>
    <row r="37" spans="3:19" ht="25.5">
      <c r="C37" s="158" t="s">
        <v>10</v>
      </c>
      <c r="D37" s="231">
        <f>Inputs!B33</f>
        <v>411.92030999881808</v>
      </c>
      <c r="E37" s="214"/>
      <c r="F37" s="214"/>
      <c r="G37" s="214"/>
      <c r="K37" s="213"/>
      <c r="M37" s="159"/>
      <c r="P37" s="159"/>
      <c r="S37" s="159"/>
    </row>
    <row r="38" spans="3:19">
      <c r="C38" s="214"/>
      <c r="D38" s="214"/>
      <c r="E38" s="214"/>
      <c r="F38" s="214"/>
      <c r="G38" s="214"/>
      <c r="H38" s="214"/>
      <c r="I38" s="214"/>
      <c r="J38" s="214"/>
      <c r="K38" s="214"/>
      <c r="L38" s="214"/>
      <c r="M38" s="214"/>
      <c r="S38" s="159"/>
    </row>
    <row r="39" spans="3:19" ht="25.5">
      <c r="C39" s="158" t="s">
        <v>11</v>
      </c>
      <c r="D39" s="231">
        <f>Inputs!B36</f>
        <v>100</v>
      </c>
      <c r="E39" s="214"/>
      <c r="F39" s="214"/>
      <c r="G39" s="214"/>
      <c r="H39" s="214"/>
      <c r="I39" s="214"/>
      <c r="J39" s="214"/>
      <c r="K39" s="214"/>
      <c r="L39" s="214"/>
      <c r="M39" s="214"/>
    </row>
    <row r="40" spans="3:19">
      <c r="C40" s="214"/>
      <c r="D40" s="214"/>
      <c r="E40" s="214"/>
      <c r="F40" s="214"/>
      <c r="G40" s="214"/>
      <c r="H40" s="214"/>
      <c r="I40" s="214"/>
      <c r="J40" s="214"/>
      <c r="K40" s="214"/>
      <c r="L40" s="214"/>
      <c r="M40" s="214"/>
    </row>
    <row r="41" spans="3:19" ht="25.5">
      <c r="C41" s="158" t="s">
        <v>12</v>
      </c>
      <c r="D41" s="230">
        <f>SUM(D33:D39)</f>
        <v>2109.0800275991996</v>
      </c>
      <c r="E41" s="214"/>
      <c r="F41" s="214"/>
      <c r="G41" s="214"/>
      <c r="H41" s="214"/>
      <c r="I41" s="214"/>
      <c r="J41" s="214"/>
      <c r="K41" s="214"/>
      <c r="L41" s="214"/>
      <c r="M41" s="214"/>
    </row>
    <row r="42" spans="3:19">
      <c r="C42" s="214"/>
      <c r="D42" s="214"/>
      <c r="E42" s="214"/>
      <c r="F42" s="214"/>
      <c r="G42" s="214"/>
      <c r="H42" s="214"/>
      <c r="I42" s="214"/>
      <c r="J42" s="214"/>
      <c r="K42" s="214"/>
      <c r="L42" s="214"/>
      <c r="M42" s="214"/>
    </row>
    <row r="43" spans="3:19">
      <c r="C43" s="214"/>
      <c r="D43" s="214"/>
      <c r="E43" s="214"/>
      <c r="F43" s="214"/>
      <c r="G43" s="214"/>
      <c r="H43" s="214"/>
      <c r="I43" s="214"/>
      <c r="J43" s="214"/>
      <c r="K43" s="214"/>
      <c r="L43" s="214"/>
      <c r="M43" s="214"/>
    </row>
    <row r="44" spans="3:19">
      <c r="C44" s="214"/>
      <c r="D44" s="214"/>
      <c r="E44" s="214"/>
      <c r="F44" s="214"/>
      <c r="G44" s="214"/>
      <c r="H44" s="214"/>
      <c r="I44" s="214"/>
      <c r="J44" s="214"/>
      <c r="K44" s="214"/>
      <c r="L44" s="214"/>
      <c r="M44" s="214"/>
    </row>
    <row r="45" spans="3:19">
      <c r="C45" s="214"/>
      <c r="D45" s="214"/>
      <c r="E45" s="214"/>
      <c r="F45" s="214"/>
      <c r="G45" s="214"/>
      <c r="H45" s="214"/>
      <c r="I45" s="214"/>
      <c r="J45" s="214"/>
      <c r="K45" s="214"/>
      <c r="L45" s="214"/>
      <c r="M45" s="214"/>
    </row>
    <row r="46" spans="3:19">
      <c r="C46" s="214"/>
      <c r="D46" s="214"/>
      <c r="E46" s="214"/>
      <c r="F46" s="214"/>
      <c r="G46" s="214"/>
      <c r="H46" s="214"/>
      <c r="I46" s="214"/>
      <c r="J46" s="214"/>
      <c r="K46" s="214"/>
      <c r="L46" s="214"/>
      <c r="M46" s="214"/>
    </row>
    <row r="47" spans="3:19">
      <c r="C47" s="214"/>
      <c r="D47" s="214"/>
      <c r="E47" s="214"/>
      <c r="F47" s="214"/>
      <c r="G47" s="214"/>
      <c r="H47" s="214"/>
      <c r="I47" s="214"/>
      <c r="J47" s="214"/>
      <c r="K47" s="214"/>
      <c r="L47" s="214"/>
      <c r="M47" s="214"/>
    </row>
    <row r="48" spans="3:19">
      <c r="C48" s="214"/>
      <c r="D48" s="214"/>
      <c r="E48" s="214"/>
      <c r="F48" s="214"/>
      <c r="G48" s="214"/>
      <c r="H48" s="214"/>
      <c r="I48" s="214"/>
      <c r="J48" s="214"/>
      <c r="K48" s="214"/>
      <c r="L48" s="214"/>
      <c r="M48" s="214"/>
    </row>
    <row r="49" spans="1:13">
      <c r="C49" s="214"/>
      <c r="D49" s="214"/>
      <c r="E49" s="214"/>
      <c r="F49" s="214"/>
      <c r="G49" s="214"/>
      <c r="H49" s="214"/>
      <c r="I49" s="214"/>
      <c r="J49" s="214"/>
      <c r="K49" s="214"/>
      <c r="L49" s="214"/>
      <c r="M49" s="214"/>
    </row>
    <row r="50" spans="1:13">
      <c r="A50" s="156" t="s">
        <v>238</v>
      </c>
      <c r="C50" s="228"/>
      <c r="D50" s="214"/>
      <c r="E50" s="214"/>
      <c r="F50" s="214"/>
      <c r="G50" s="214"/>
      <c r="H50" s="214"/>
      <c r="I50" s="214"/>
      <c r="J50" s="214"/>
      <c r="K50" s="214"/>
      <c r="L50" s="214"/>
      <c r="M50" s="214"/>
    </row>
    <row r="51" spans="1:13">
      <c r="A51" s="156" t="s">
        <v>239</v>
      </c>
      <c r="C51" s="228"/>
      <c r="D51" s="214"/>
      <c r="E51" s="214"/>
      <c r="F51" s="214"/>
      <c r="G51" s="214"/>
      <c r="H51" s="214"/>
      <c r="I51" s="214"/>
      <c r="J51" s="214"/>
      <c r="K51" s="214"/>
      <c r="L51" s="214"/>
      <c r="M51" s="214"/>
    </row>
    <row r="52" spans="1:13">
      <c r="C52" s="214"/>
      <c r="D52" s="214"/>
      <c r="E52" s="214"/>
      <c r="F52" s="214"/>
      <c r="G52" s="214"/>
      <c r="H52" s="214"/>
      <c r="I52" s="214"/>
      <c r="J52" s="214"/>
      <c r="K52" s="214"/>
      <c r="L52" s="214"/>
      <c r="M52" s="214"/>
    </row>
    <row r="53" spans="1:13">
      <c r="C53" s="215"/>
      <c r="D53" s="216"/>
      <c r="E53" s="214"/>
      <c r="F53" s="214"/>
      <c r="G53" s="214"/>
      <c r="H53" s="214"/>
      <c r="I53" s="214"/>
      <c r="J53" s="214"/>
      <c r="K53" s="214"/>
      <c r="L53" s="214"/>
      <c r="M53" s="214"/>
    </row>
    <row r="54" spans="1:13">
      <c r="C54" s="215"/>
      <c r="D54" s="217"/>
      <c r="E54" s="214"/>
      <c r="F54" s="214"/>
      <c r="G54" s="214"/>
      <c r="H54" s="214"/>
      <c r="I54" s="214"/>
      <c r="J54" s="214"/>
      <c r="K54" s="214"/>
      <c r="L54" s="214"/>
      <c r="M54" s="214"/>
    </row>
    <row r="55" spans="1:13">
      <c r="C55" s="215"/>
      <c r="D55" s="217"/>
      <c r="E55" s="214"/>
      <c r="F55" s="214"/>
      <c r="G55" s="214"/>
      <c r="H55" s="214"/>
      <c r="I55" s="214"/>
      <c r="J55" s="214"/>
      <c r="K55" s="214"/>
      <c r="L55" s="214"/>
      <c r="M55" s="214"/>
    </row>
    <row r="56" spans="1:13">
      <c r="C56" s="215"/>
      <c r="D56" s="217"/>
      <c r="E56" s="214"/>
      <c r="F56" s="214"/>
      <c r="G56" s="214"/>
      <c r="H56" s="214"/>
      <c r="I56" s="214"/>
      <c r="J56" s="214"/>
      <c r="K56" s="214"/>
      <c r="L56" s="214"/>
      <c r="M56" s="214"/>
    </row>
    <row r="57" spans="1:13">
      <c r="C57" s="215"/>
      <c r="D57" s="217"/>
      <c r="E57" s="214"/>
      <c r="F57" s="214"/>
      <c r="G57" s="214"/>
      <c r="H57" s="214"/>
      <c r="I57" s="214"/>
      <c r="J57" s="214"/>
      <c r="K57" s="214"/>
      <c r="L57" s="214"/>
      <c r="M57" s="214"/>
    </row>
    <row r="58" spans="1:13">
      <c r="C58" s="215"/>
      <c r="D58" s="217"/>
      <c r="E58" s="214"/>
      <c r="F58" s="214"/>
      <c r="G58" s="214"/>
      <c r="H58" s="214"/>
      <c r="I58" s="214"/>
      <c r="J58" s="214"/>
      <c r="K58" s="214"/>
      <c r="L58" s="214"/>
      <c r="M58" s="214"/>
    </row>
    <row r="59" spans="1:13">
      <c r="C59" s="215"/>
      <c r="D59" s="217"/>
      <c r="E59" s="214"/>
      <c r="F59" s="214"/>
      <c r="G59" s="214"/>
      <c r="H59" s="214"/>
      <c r="I59" s="214"/>
      <c r="J59" s="214"/>
      <c r="K59" s="214"/>
      <c r="L59" s="214"/>
      <c r="M59" s="214"/>
    </row>
    <row r="60" spans="1:13">
      <c r="C60" s="214"/>
      <c r="D60" s="214"/>
      <c r="E60" s="214"/>
      <c r="F60" s="214"/>
      <c r="G60" s="214"/>
      <c r="H60" s="214"/>
      <c r="I60" s="214"/>
      <c r="J60" s="214"/>
      <c r="K60" s="214"/>
      <c r="L60" s="214"/>
      <c r="M60" s="214"/>
    </row>
    <row r="61" spans="1:13">
      <c r="C61" s="214"/>
      <c r="D61" s="214"/>
      <c r="E61" s="214"/>
      <c r="F61" s="214"/>
      <c r="G61" s="214"/>
      <c r="H61" s="214"/>
      <c r="I61" s="214"/>
      <c r="J61" s="214"/>
      <c r="K61" s="214"/>
      <c r="L61" s="214"/>
      <c r="M61" s="214"/>
    </row>
    <row r="62" spans="1:13">
      <c r="C62" s="214"/>
      <c r="D62" s="214"/>
      <c r="E62" s="214"/>
      <c r="F62" s="214"/>
      <c r="G62" s="214"/>
      <c r="H62" s="214"/>
      <c r="I62" s="214"/>
      <c r="J62" s="214"/>
      <c r="K62" s="214"/>
      <c r="L62" s="214"/>
      <c r="M62" s="214"/>
    </row>
    <row r="63" spans="1:13">
      <c r="C63" s="214"/>
      <c r="D63" s="214"/>
      <c r="E63" s="214"/>
      <c r="F63" s="214"/>
      <c r="G63" s="214"/>
      <c r="H63" s="214"/>
      <c r="I63" s="214"/>
      <c r="J63" s="214"/>
      <c r="K63" s="214"/>
      <c r="L63" s="214"/>
      <c r="M63" s="214"/>
    </row>
    <row r="64" spans="1:13">
      <c r="C64" s="214"/>
      <c r="D64" s="214"/>
      <c r="E64" s="214"/>
      <c r="F64" s="214"/>
      <c r="G64" s="214"/>
      <c r="H64" s="214"/>
      <c r="I64" s="214"/>
      <c r="J64" s="214"/>
      <c r="K64" s="214"/>
      <c r="L64" s="214"/>
      <c r="M64" s="214"/>
    </row>
    <row r="65" spans="3:13">
      <c r="C65" s="214"/>
      <c r="D65" s="214"/>
      <c r="E65" s="214"/>
      <c r="F65" s="214"/>
      <c r="G65" s="214"/>
      <c r="H65" s="214"/>
      <c r="I65" s="214"/>
      <c r="J65" s="214"/>
      <c r="K65" s="214"/>
      <c r="L65" s="214"/>
      <c r="M65" s="214"/>
    </row>
    <row r="66" spans="3:13">
      <c r="C66" s="214"/>
      <c r="D66" s="214"/>
      <c r="E66" s="214"/>
      <c r="F66" s="214"/>
      <c r="G66" s="214"/>
      <c r="H66" s="214"/>
      <c r="I66" s="214"/>
      <c r="J66" s="214"/>
      <c r="K66" s="214"/>
      <c r="L66" s="214"/>
      <c r="M66" s="214"/>
    </row>
    <row r="67" spans="3:13">
      <c r="C67" s="214"/>
      <c r="D67" s="214"/>
      <c r="E67" s="214"/>
      <c r="F67" s="214"/>
      <c r="G67" s="214"/>
      <c r="H67" s="214"/>
      <c r="I67" s="214"/>
      <c r="J67" s="214"/>
      <c r="K67" s="214"/>
      <c r="L67" s="214"/>
      <c r="M67" s="214"/>
    </row>
    <row r="68" spans="3:13">
      <c r="C68" s="214"/>
      <c r="D68" s="214"/>
      <c r="E68" s="214"/>
      <c r="F68" s="214"/>
      <c r="G68" s="214"/>
      <c r="H68" s="214"/>
      <c r="I68" s="214"/>
      <c r="J68" s="214"/>
      <c r="K68" s="214"/>
      <c r="L68" s="214"/>
      <c r="M68" s="214"/>
    </row>
    <row r="69" spans="3:13">
      <c r="C69" s="214"/>
      <c r="D69" s="214"/>
      <c r="E69" s="214"/>
      <c r="F69" s="214"/>
      <c r="G69" s="214"/>
      <c r="H69" s="214"/>
      <c r="I69" s="214"/>
      <c r="J69" s="214"/>
      <c r="K69" s="214"/>
      <c r="L69" s="214"/>
      <c r="M69" s="214"/>
    </row>
    <row r="70" spans="3:13">
      <c r="C70" s="214"/>
      <c r="D70" s="214"/>
      <c r="E70" s="214"/>
      <c r="F70" s="214"/>
      <c r="G70" s="214"/>
      <c r="H70" s="214"/>
      <c r="I70" s="214"/>
      <c r="J70" s="214"/>
      <c r="K70" s="214"/>
      <c r="L70" s="214"/>
      <c r="M70" s="214"/>
    </row>
    <row r="71" spans="3:13">
      <c r="C71" s="214"/>
      <c r="D71" s="214"/>
      <c r="E71" s="214"/>
      <c r="F71" s="214"/>
      <c r="G71" s="214"/>
      <c r="H71" s="214"/>
      <c r="I71" s="214"/>
      <c r="J71" s="214"/>
      <c r="K71" s="214"/>
      <c r="L71" s="214"/>
      <c r="M71" s="214"/>
    </row>
    <row r="72" spans="3:13">
      <c r="C72" s="214"/>
      <c r="D72" s="214"/>
      <c r="E72" s="214"/>
      <c r="F72" s="214"/>
      <c r="G72" s="214"/>
      <c r="H72" s="214"/>
      <c r="I72" s="214"/>
      <c r="J72" s="214"/>
      <c r="K72" s="214"/>
      <c r="L72" s="214"/>
      <c r="M72" s="214"/>
    </row>
  </sheetData>
  <mergeCells count="1">
    <mergeCell ref="C14:D14"/>
  </mergeCells>
  <conditionalFormatting sqref="D19">
    <cfRule type="cellIs" dxfId="40" priority="2" operator="greaterThan">
      <formula>257</formula>
    </cfRule>
  </conditionalFormatting>
  <dataValidations count="1">
    <dataValidation type="list" allowBlank="1" showInputMessage="1" showErrorMessage="1" sqref="D29 D31" xr:uid="{A58D5047-856B-41C2-BAA5-355AC1817586}">
      <formula1>$A$50:$A$51</formula1>
    </dataValidation>
  </dataValidations>
  <pageMargins left="0.7" right="0.7" top="0.75" bottom="0.75" header="0.3" footer="0.3"/>
  <pageSetup paperSize="9"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40C2DB9-803A-49A3-8391-1701C9586828}">
          <x14:formula1>
            <xm:f>'Reference Tables'!$C$11:$I$11</xm:f>
          </x14:formula1>
          <xm:sqref>D17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46"/>
  <sheetViews>
    <sheetView topLeftCell="A2" workbookViewId="0">
      <selection activeCell="D47" sqref="D47"/>
    </sheetView>
  </sheetViews>
  <sheetFormatPr defaultColWidth="8.875" defaultRowHeight="15.75"/>
  <cols>
    <col min="1" max="3" width="28.875" customWidth="1"/>
    <col min="5" max="5" width="14.375" customWidth="1"/>
    <col min="6" max="6" width="22.375" customWidth="1"/>
    <col min="7" max="7" width="13.125" customWidth="1"/>
  </cols>
  <sheetData>
    <row r="3" spans="1:3" ht="16.149999999999999" thickBot="1">
      <c r="A3" t="s">
        <v>228</v>
      </c>
    </row>
    <row r="4" spans="1:3" ht="28.9" thickBot="1">
      <c r="A4" s="33" t="s">
        <v>1</v>
      </c>
      <c r="B4" s="34" t="s">
        <v>229</v>
      </c>
      <c r="C4" s="35" t="s">
        <v>230</v>
      </c>
    </row>
    <row r="5" spans="1:3" ht="16.149999999999999" thickBot="1">
      <c r="A5" s="196" t="s">
        <v>219</v>
      </c>
      <c r="B5" s="203">
        <f>AVERAGE(B27,B38)</f>
        <v>40.424063015636364</v>
      </c>
      <c r="C5" s="204">
        <f>AVERAGE(C27,C38)</f>
        <v>44.466469317200001</v>
      </c>
    </row>
    <row r="6" spans="1:3" ht="16.149999999999999" thickBot="1">
      <c r="A6" s="196" t="s">
        <v>218</v>
      </c>
      <c r="B6" s="203">
        <f t="shared" ref="B6:C12" si="0">AVERAGE(B28,B39)</f>
        <v>32.782560697729451</v>
      </c>
      <c r="C6" s="204">
        <f t="shared" si="0"/>
        <v>36.060816767502402</v>
      </c>
    </row>
    <row r="7" spans="1:3" ht="16.149999999999999" thickBot="1">
      <c r="A7" s="197" t="s">
        <v>220</v>
      </c>
      <c r="B7" s="205">
        <f t="shared" si="0"/>
        <v>30.479295984914181</v>
      </c>
      <c r="C7" s="206">
        <f t="shared" si="0"/>
        <v>33.527225583405603</v>
      </c>
    </row>
    <row r="8" spans="1:3" ht="16.149999999999999" thickBot="1">
      <c r="A8" s="197" t="s">
        <v>223</v>
      </c>
      <c r="B8" s="205">
        <f t="shared" si="0"/>
        <v>26.754930462795727</v>
      </c>
      <c r="C8" s="206">
        <f t="shared" si="0"/>
        <v>29.4304235090753</v>
      </c>
    </row>
    <row r="9" spans="1:3" ht="16.149999999999999" thickBot="1">
      <c r="A9" s="196" t="s">
        <v>221</v>
      </c>
      <c r="B9" s="203">
        <f t="shared" si="0"/>
        <v>32.355374400880137</v>
      </c>
      <c r="C9" s="204">
        <f t="shared" si="0"/>
        <v>35.590911840968147</v>
      </c>
    </row>
    <row r="10" spans="1:3" ht="16.149999999999999" thickBot="1">
      <c r="A10" s="197" t="s">
        <v>222</v>
      </c>
      <c r="B10" s="205">
        <f t="shared" si="0"/>
        <v>29.960713443859724</v>
      </c>
      <c r="C10" s="206">
        <f t="shared" si="0"/>
        <v>32.956784788245699</v>
      </c>
    </row>
    <row r="11" spans="1:3" ht="16.149999999999999" thickBot="1">
      <c r="A11" s="196" t="s">
        <v>2</v>
      </c>
      <c r="B11" s="203">
        <f t="shared" si="0"/>
        <v>31.296118488253498</v>
      </c>
      <c r="C11" s="204">
        <f t="shared" si="0"/>
        <v>34.425730337078846</v>
      </c>
    </row>
    <row r="12" spans="1:3" ht="16.149999999999999" thickBot="1">
      <c r="A12" s="198" t="s">
        <v>231</v>
      </c>
      <c r="B12" s="207">
        <f t="shared" si="0"/>
        <v>26.377779523847089</v>
      </c>
      <c r="C12" s="208">
        <f t="shared" si="0"/>
        <v>29.015557476231798</v>
      </c>
    </row>
    <row r="14" spans="1:3" ht="16.149999999999999" thickBot="1"/>
    <row r="15" spans="1:3" ht="33" customHeight="1" thickBot="1">
      <c r="A15" s="33" t="s">
        <v>1</v>
      </c>
      <c r="B15" s="34" t="s">
        <v>229</v>
      </c>
      <c r="C15" s="35" t="s">
        <v>230</v>
      </c>
    </row>
    <row r="16" spans="1:3" ht="16.149999999999999" thickBot="1">
      <c r="A16" s="194" t="s">
        <v>219</v>
      </c>
      <c r="B16" s="199">
        <v>34</v>
      </c>
      <c r="C16" s="200">
        <v>38</v>
      </c>
    </row>
    <row r="17" spans="1:3" ht="16.149999999999999" thickBot="1">
      <c r="A17" s="194" t="s">
        <v>218</v>
      </c>
      <c r="B17" s="199">
        <v>30</v>
      </c>
      <c r="C17" s="200">
        <v>33</v>
      </c>
    </row>
    <row r="18" spans="1:3" ht="16.149999999999999" thickBot="1">
      <c r="A18" s="194" t="s">
        <v>220</v>
      </c>
      <c r="B18" s="199">
        <v>29</v>
      </c>
      <c r="C18" s="200">
        <v>32</v>
      </c>
    </row>
    <row r="19" spans="1:3" ht="16.149999999999999" thickBot="1">
      <c r="A19" s="194" t="s">
        <v>223</v>
      </c>
      <c r="B19" s="199">
        <v>27</v>
      </c>
      <c r="C19" s="200">
        <v>29</v>
      </c>
    </row>
    <row r="20" spans="1:3" ht="16.149999999999999" thickBot="1">
      <c r="A20" s="194" t="s">
        <v>221</v>
      </c>
      <c r="B20" s="199">
        <v>25</v>
      </c>
      <c r="C20" s="200">
        <v>27</v>
      </c>
    </row>
    <row r="21" spans="1:3" ht="16.149999999999999" thickBot="1">
      <c r="A21" s="194" t="s">
        <v>222</v>
      </c>
      <c r="B21" s="199">
        <v>23</v>
      </c>
      <c r="C21" s="200">
        <v>25</v>
      </c>
    </row>
    <row r="22" spans="1:3" ht="16.149999999999999" thickBot="1">
      <c r="A22" s="194" t="s">
        <v>2</v>
      </c>
      <c r="B22" s="199">
        <v>22</v>
      </c>
      <c r="C22" s="200">
        <v>25</v>
      </c>
    </row>
    <row r="23" spans="1:3" ht="16.149999999999999" thickBot="1">
      <c r="A23" s="195" t="s">
        <v>231</v>
      </c>
      <c r="B23" s="201">
        <v>21</v>
      </c>
      <c r="C23" s="202">
        <v>23</v>
      </c>
    </row>
    <row r="24" spans="1:3">
      <c r="A24" s="373" t="s">
        <v>232</v>
      </c>
      <c r="B24" s="373"/>
      <c r="C24" s="373"/>
    </row>
    <row r="25" spans="1:3" ht="16.149999999999999" thickBot="1"/>
    <row r="26" spans="1:3" ht="28.9" thickBot="1">
      <c r="A26" s="33" t="s">
        <v>1</v>
      </c>
      <c r="B26" s="34" t="s">
        <v>229</v>
      </c>
      <c r="C26" s="35" t="s">
        <v>230</v>
      </c>
    </row>
    <row r="27" spans="1:3" ht="16.149999999999999" thickBot="1">
      <c r="A27" s="194" t="s">
        <v>219</v>
      </c>
      <c r="B27" s="199">
        <v>38.299999999999997</v>
      </c>
      <c r="C27" s="200">
        <f>B27*1.1</f>
        <v>42.13</v>
      </c>
    </row>
    <row r="28" spans="1:3" ht="16.149999999999999" thickBot="1">
      <c r="A28" s="194" t="s">
        <v>218</v>
      </c>
      <c r="B28" s="199">
        <v>29.9</v>
      </c>
      <c r="C28" s="200">
        <f>B28*1.1</f>
        <v>32.89</v>
      </c>
    </row>
    <row r="29" spans="1:3" ht="16.149999999999999" thickBot="1">
      <c r="A29" s="194" t="s">
        <v>220</v>
      </c>
      <c r="B29" s="199"/>
      <c r="C29" s="200"/>
    </row>
    <row r="30" spans="1:3" ht="16.149999999999999" thickBot="1">
      <c r="A30" s="194" t="s">
        <v>223</v>
      </c>
      <c r="B30" s="199"/>
      <c r="C30" s="200"/>
    </row>
    <row r="31" spans="1:3" ht="16.149999999999999" thickBot="1">
      <c r="A31" s="194" t="s">
        <v>221</v>
      </c>
      <c r="B31" s="199">
        <v>33.1</v>
      </c>
      <c r="C31" s="200">
        <f t="shared" ref="C31:C33" si="1">B31*1.1</f>
        <v>36.410000000000004</v>
      </c>
    </row>
    <row r="32" spans="1:3" ht="16.149999999999999" thickBot="1">
      <c r="A32" s="194" t="s">
        <v>222</v>
      </c>
      <c r="B32" s="199"/>
      <c r="C32" s="200"/>
    </row>
    <row r="33" spans="1:3" ht="16.149999999999999" thickBot="1">
      <c r="A33" s="194" t="s">
        <v>2</v>
      </c>
      <c r="B33" s="199">
        <v>28.2</v>
      </c>
      <c r="C33" s="200">
        <f t="shared" si="1"/>
        <v>31.020000000000003</v>
      </c>
    </row>
    <row r="34" spans="1:3" ht="16.149999999999999" thickBot="1">
      <c r="A34" s="195" t="s">
        <v>231</v>
      </c>
      <c r="B34" s="201"/>
      <c r="C34" s="202"/>
    </row>
    <row r="35" spans="1:3">
      <c r="A35" s="373" t="s">
        <v>233</v>
      </c>
      <c r="B35" s="373"/>
      <c r="C35" s="373"/>
    </row>
    <row r="36" spans="1:3" ht="16.149999999999999" thickBot="1"/>
    <row r="37" spans="1:3" ht="28.9" thickBot="1">
      <c r="A37" s="33" t="s">
        <v>1</v>
      </c>
      <c r="B37" s="34" t="s">
        <v>229</v>
      </c>
      <c r="C37" s="35" t="s">
        <v>230</v>
      </c>
    </row>
    <row r="38" spans="1:3" ht="16.149999999999999" thickBot="1">
      <c r="A38" s="194" t="s">
        <v>219</v>
      </c>
      <c r="B38" s="209">
        <f>C38/1.1</f>
        <v>42.548126031272723</v>
      </c>
      <c r="C38" s="210">
        <v>46.8029386344</v>
      </c>
    </row>
    <row r="39" spans="1:3" ht="16.149999999999999" thickBot="1">
      <c r="A39" s="194" t="s">
        <v>218</v>
      </c>
      <c r="B39" s="209">
        <f t="shared" ref="B39:B45" si="2">C39/1.1</f>
        <v>35.665121395458911</v>
      </c>
      <c r="C39" s="210">
        <v>39.231633535004804</v>
      </c>
    </row>
    <row r="40" spans="1:3" ht="16.149999999999999" thickBot="1">
      <c r="A40" s="194" t="s">
        <v>220</v>
      </c>
      <c r="B40" s="209">
        <f t="shared" si="2"/>
        <v>30.479295984914181</v>
      </c>
      <c r="C40" s="210">
        <v>33.527225583405603</v>
      </c>
    </row>
    <row r="41" spans="1:3" ht="16.149999999999999" thickBot="1">
      <c r="A41" s="194" t="s">
        <v>223</v>
      </c>
      <c r="B41" s="209">
        <f t="shared" si="2"/>
        <v>26.754930462795727</v>
      </c>
      <c r="C41" s="210">
        <v>29.4304235090753</v>
      </c>
    </row>
    <row r="42" spans="1:3" ht="16.149999999999999" thickBot="1">
      <c r="A42" s="194" t="s">
        <v>221</v>
      </c>
      <c r="B42" s="209">
        <f t="shared" si="2"/>
        <v>31.610748801760266</v>
      </c>
      <c r="C42" s="210">
        <v>34.771823681936297</v>
      </c>
    </row>
    <row r="43" spans="1:3" ht="16.149999999999999" thickBot="1">
      <c r="A43" s="194" t="s">
        <v>222</v>
      </c>
      <c r="B43" s="209">
        <f t="shared" si="2"/>
        <v>29.960713443859724</v>
      </c>
      <c r="C43" s="210">
        <v>32.956784788245699</v>
      </c>
    </row>
    <row r="44" spans="1:3" ht="16.149999999999999" thickBot="1">
      <c r="A44" s="194" t="s">
        <v>2</v>
      </c>
      <c r="B44" s="209">
        <f t="shared" si="2"/>
        <v>34.392236976506993</v>
      </c>
      <c r="C44" s="210">
        <v>37.831460674157697</v>
      </c>
    </row>
    <row r="45" spans="1:3" ht="16.149999999999999" thickBot="1">
      <c r="A45" s="195" t="s">
        <v>231</v>
      </c>
      <c r="B45" s="211">
        <f t="shared" si="2"/>
        <v>26.377779523847089</v>
      </c>
      <c r="C45" s="212">
        <v>29.015557476231798</v>
      </c>
    </row>
    <row r="46" spans="1:3" ht="29.25" customHeight="1">
      <c r="A46" s="374" t="s">
        <v>234</v>
      </c>
      <c r="B46" s="375"/>
      <c r="C46" s="375"/>
    </row>
  </sheetData>
  <sheetProtection algorithmName="SHA-512" hashValue="unFA+NIRcTgprCzKkCHIU8Q6ZnDpWt24B8s9A4JwMDxHJ3aEeICo0j1yVOqvgN5NIQLsAm9LGXYFdmquowEZ2w==" saltValue="SYxex92inC00f8bFWMB7wg==" spinCount="100000" sheet="1" objects="1" scenarios="1"/>
  <mergeCells count="3">
    <mergeCell ref="A24:C24"/>
    <mergeCell ref="A35:C35"/>
    <mergeCell ref="A46:C46"/>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4FA01-0DF2-47E1-A1FB-3E492968BE2B}">
  <dimension ref="B2:H68"/>
  <sheetViews>
    <sheetView workbookViewId="0">
      <selection activeCell="E3" sqref="E3:F3"/>
    </sheetView>
  </sheetViews>
  <sheetFormatPr defaultRowHeight="15.75"/>
  <cols>
    <col min="2" max="2" width="9.25" customWidth="1"/>
  </cols>
  <sheetData>
    <row r="2" spans="2:6">
      <c r="B2" t="s">
        <v>3</v>
      </c>
      <c r="C2" t="s">
        <v>241</v>
      </c>
      <c r="E2" t="s">
        <v>3</v>
      </c>
      <c r="F2" t="s">
        <v>241</v>
      </c>
    </row>
    <row r="3" spans="2:6">
      <c r="B3" s="330">
        <v>265</v>
      </c>
      <c r="C3" s="329">
        <v>0.2</v>
      </c>
      <c r="E3" s="330">
        <v>265</v>
      </c>
      <c r="F3" s="329">
        <v>0.3</v>
      </c>
    </row>
    <row r="4" spans="2:6">
      <c r="B4" s="330">
        <v>264</v>
      </c>
      <c r="C4" s="329">
        <v>0.2533333333333333</v>
      </c>
      <c r="E4" s="330">
        <v>264</v>
      </c>
      <c r="F4" s="329">
        <v>0.28000000000000003</v>
      </c>
    </row>
    <row r="5" spans="2:6">
      <c r="B5" s="330">
        <v>263</v>
      </c>
      <c r="C5" s="329">
        <v>0.30666666666666664</v>
      </c>
      <c r="E5" s="330">
        <v>263</v>
      </c>
      <c r="F5" s="329">
        <v>0.26</v>
      </c>
    </row>
    <row r="6" spans="2:6">
      <c r="B6" s="330">
        <v>262</v>
      </c>
      <c r="C6" s="329">
        <v>0.35999999999999988</v>
      </c>
      <c r="E6" s="330">
        <v>262</v>
      </c>
      <c r="F6" s="329">
        <v>0.24</v>
      </c>
    </row>
    <row r="7" spans="2:6">
      <c r="B7" s="330">
        <v>261</v>
      </c>
      <c r="C7" s="329">
        <v>0.41333333333333333</v>
      </c>
      <c r="E7" s="330">
        <v>261</v>
      </c>
      <c r="F7" s="329">
        <v>0.22</v>
      </c>
    </row>
    <row r="8" spans="2:6">
      <c r="B8" s="330">
        <v>260</v>
      </c>
      <c r="C8" s="329">
        <v>0.46666666666666667</v>
      </c>
      <c r="E8" s="330">
        <v>260</v>
      </c>
      <c r="F8" s="329">
        <v>0.2</v>
      </c>
    </row>
    <row r="9" spans="2:6">
      <c r="B9" s="330">
        <v>259</v>
      </c>
      <c r="C9" s="329">
        <v>0.52</v>
      </c>
      <c r="E9" s="330">
        <v>259</v>
      </c>
      <c r="F9" s="329">
        <v>0.18</v>
      </c>
    </row>
    <row r="10" spans="2:6">
      <c r="B10" s="330">
        <v>258</v>
      </c>
      <c r="C10" s="329">
        <v>0.57333333333333325</v>
      </c>
      <c r="E10" s="330">
        <v>258</v>
      </c>
      <c r="F10" s="329">
        <v>0.16</v>
      </c>
    </row>
    <row r="11" spans="2:6">
      <c r="B11" s="330">
        <v>257</v>
      </c>
      <c r="C11" s="329">
        <v>0.62666666666666671</v>
      </c>
      <c r="E11" s="330">
        <v>257</v>
      </c>
      <c r="F11" s="329">
        <v>0.14000000000000001</v>
      </c>
    </row>
    <row r="12" spans="2:6">
      <c r="B12" s="330">
        <v>256</v>
      </c>
      <c r="C12" s="329">
        <v>0.67999999999999994</v>
      </c>
      <c r="E12" s="330">
        <v>256</v>
      </c>
      <c r="F12" s="329">
        <v>0.12</v>
      </c>
    </row>
    <row r="13" spans="2:6">
      <c r="B13" s="330">
        <v>255</v>
      </c>
      <c r="C13" s="329">
        <v>0.73333333333333339</v>
      </c>
      <c r="E13" s="330">
        <v>255</v>
      </c>
      <c r="F13" s="329">
        <v>0.1</v>
      </c>
    </row>
    <row r="14" spans="2:6">
      <c r="B14" s="330">
        <v>254</v>
      </c>
      <c r="C14" s="329">
        <v>0.78666666666666663</v>
      </c>
      <c r="E14" s="330">
        <v>254</v>
      </c>
      <c r="F14" s="329">
        <v>0.08</v>
      </c>
    </row>
    <row r="15" spans="2:6">
      <c r="B15" s="330">
        <v>253</v>
      </c>
      <c r="C15" s="329">
        <v>0.84</v>
      </c>
      <c r="E15" s="330">
        <v>253</v>
      </c>
      <c r="F15" s="329">
        <v>0.06</v>
      </c>
    </row>
    <row r="16" spans="2:6">
      <c r="B16" s="330">
        <v>252</v>
      </c>
      <c r="C16" s="329">
        <v>0.89333333333333331</v>
      </c>
      <c r="E16" s="330">
        <v>252</v>
      </c>
      <c r="F16" s="329">
        <v>0.04</v>
      </c>
    </row>
    <row r="17" spans="2:6">
      <c r="B17" s="330">
        <v>251</v>
      </c>
      <c r="C17" s="329">
        <v>0.94666666666666666</v>
      </c>
      <c r="E17" s="330">
        <v>251</v>
      </c>
      <c r="F17" s="329">
        <v>0.02</v>
      </c>
    </row>
    <row r="18" spans="2:6">
      <c r="B18" s="330">
        <v>250</v>
      </c>
      <c r="C18" s="329">
        <v>1</v>
      </c>
      <c r="E18" s="330">
        <v>250</v>
      </c>
      <c r="F18" s="329">
        <v>0</v>
      </c>
    </row>
    <row r="19" spans="2:6">
      <c r="B19" s="330">
        <v>249</v>
      </c>
      <c r="C19" s="329">
        <v>1</v>
      </c>
      <c r="E19" s="330">
        <v>249</v>
      </c>
      <c r="F19" s="329">
        <v>0</v>
      </c>
    </row>
    <row r="20" spans="2:6">
      <c r="B20" s="330">
        <v>248</v>
      </c>
      <c r="C20" s="329">
        <v>1</v>
      </c>
      <c r="E20" s="330">
        <v>248</v>
      </c>
      <c r="F20" s="329">
        <v>0</v>
      </c>
    </row>
    <row r="21" spans="2:6">
      <c r="B21" s="330">
        <v>247</v>
      </c>
      <c r="C21" s="329">
        <v>1</v>
      </c>
      <c r="E21" s="330">
        <v>247</v>
      </c>
      <c r="F21" s="329">
        <v>0</v>
      </c>
    </row>
    <row r="22" spans="2:6">
      <c r="B22" s="330">
        <v>246</v>
      </c>
      <c r="C22" s="329">
        <v>1</v>
      </c>
      <c r="E22" s="330">
        <v>246</v>
      </c>
      <c r="F22" s="329">
        <v>0</v>
      </c>
    </row>
    <row r="23" spans="2:6">
      <c r="B23" s="330">
        <v>245</v>
      </c>
      <c r="C23" s="329">
        <v>1</v>
      </c>
      <c r="E23" s="330">
        <v>245</v>
      </c>
      <c r="F23" s="329">
        <v>0</v>
      </c>
    </row>
    <row r="24" spans="2:6">
      <c r="B24" s="330">
        <v>244</v>
      </c>
      <c r="C24" s="329">
        <v>1</v>
      </c>
      <c r="E24" s="330">
        <v>244</v>
      </c>
      <c r="F24" s="329">
        <v>0</v>
      </c>
    </row>
    <row r="25" spans="2:6">
      <c r="B25" s="330">
        <v>243</v>
      </c>
      <c r="C25" s="329">
        <v>1</v>
      </c>
      <c r="E25" s="330">
        <v>243</v>
      </c>
      <c r="F25" s="329">
        <v>0</v>
      </c>
    </row>
    <row r="26" spans="2:6">
      <c r="B26" s="330">
        <v>242</v>
      </c>
      <c r="C26" s="329">
        <v>1</v>
      </c>
      <c r="E26" s="330">
        <v>242</v>
      </c>
      <c r="F26" s="329">
        <v>0</v>
      </c>
    </row>
    <row r="27" spans="2:6">
      <c r="B27" s="330">
        <v>241</v>
      </c>
      <c r="C27" s="329">
        <v>1</v>
      </c>
      <c r="E27" s="330">
        <v>241</v>
      </c>
      <c r="F27" s="329">
        <v>0</v>
      </c>
    </row>
    <row r="28" spans="2:6">
      <c r="B28" s="330">
        <v>240</v>
      </c>
      <c r="C28" s="329">
        <v>1</v>
      </c>
      <c r="E28" s="330">
        <v>240</v>
      </c>
      <c r="F28" s="329">
        <v>0</v>
      </c>
    </row>
    <row r="29" spans="2:6">
      <c r="B29" s="330">
        <v>239</v>
      </c>
      <c r="C29" s="329">
        <v>1</v>
      </c>
      <c r="E29" s="330">
        <v>239</v>
      </c>
      <c r="F29" s="329">
        <v>0</v>
      </c>
    </row>
    <row r="30" spans="2:6">
      <c r="B30" s="330">
        <v>238</v>
      </c>
      <c r="C30" s="329">
        <v>1</v>
      </c>
      <c r="E30" s="330">
        <v>238</v>
      </c>
      <c r="F30" s="329">
        <v>0</v>
      </c>
    </row>
    <row r="31" spans="2:6">
      <c r="B31" s="330">
        <v>237</v>
      </c>
      <c r="C31" s="329">
        <v>1</v>
      </c>
      <c r="E31" s="330">
        <v>237</v>
      </c>
      <c r="F31" s="329">
        <v>0</v>
      </c>
    </row>
    <row r="32" spans="2:6">
      <c r="B32" s="330">
        <v>236</v>
      </c>
      <c r="C32" s="329">
        <v>1</v>
      </c>
      <c r="E32" s="330">
        <v>236</v>
      </c>
      <c r="F32" s="329">
        <v>0</v>
      </c>
    </row>
    <row r="33" spans="2:6">
      <c r="B33" s="330">
        <v>235</v>
      </c>
      <c r="C33" s="329">
        <v>1</v>
      </c>
      <c r="E33" s="330">
        <v>235</v>
      </c>
      <c r="F33" s="329">
        <v>0</v>
      </c>
    </row>
    <row r="34" spans="2:6">
      <c r="B34" s="330">
        <v>234</v>
      </c>
      <c r="C34" s="329">
        <v>1</v>
      </c>
      <c r="E34" s="330">
        <v>234</v>
      </c>
      <c r="F34" s="329">
        <v>0</v>
      </c>
    </row>
    <row r="35" spans="2:6">
      <c r="B35" s="330">
        <v>233</v>
      </c>
      <c r="C35" s="329">
        <v>1</v>
      </c>
      <c r="E35" s="330">
        <v>233</v>
      </c>
      <c r="F35" s="329">
        <v>0</v>
      </c>
    </row>
    <row r="36" spans="2:6">
      <c r="B36" s="330">
        <v>232</v>
      </c>
      <c r="C36" s="329">
        <v>1</v>
      </c>
      <c r="E36" s="330">
        <v>232</v>
      </c>
      <c r="F36" s="329">
        <v>0</v>
      </c>
    </row>
    <row r="37" spans="2:6">
      <c r="B37" s="330">
        <v>231</v>
      </c>
      <c r="C37" s="329">
        <v>1</v>
      </c>
      <c r="E37" s="330">
        <v>231</v>
      </c>
      <c r="F37" s="329">
        <v>0</v>
      </c>
    </row>
    <row r="38" spans="2:6">
      <c r="B38" s="330">
        <v>230</v>
      </c>
      <c r="C38" s="329">
        <v>1</v>
      </c>
      <c r="E38" s="330">
        <v>230</v>
      </c>
      <c r="F38" s="329">
        <v>0</v>
      </c>
    </row>
    <row r="39" spans="2:6">
      <c r="B39" s="330">
        <v>229</v>
      </c>
      <c r="C39" s="329">
        <v>1</v>
      </c>
      <c r="E39" s="330">
        <v>229</v>
      </c>
      <c r="F39" s="329">
        <v>0</v>
      </c>
    </row>
    <row r="40" spans="2:6">
      <c r="B40" s="330">
        <v>228</v>
      </c>
      <c r="C40" s="329">
        <v>1</v>
      </c>
      <c r="E40" s="330">
        <v>228</v>
      </c>
      <c r="F40" s="329">
        <v>0</v>
      </c>
    </row>
    <row r="41" spans="2:6">
      <c r="B41" s="330">
        <v>227</v>
      </c>
      <c r="C41" s="329">
        <v>1</v>
      </c>
      <c r="E41" s="330">
        <v>227</v>
      </c>
      <c r="F41" s="329">
        <v>0</v>
      </c>
    </row>
    <row r="42" spans="2:6">
      <c r="B42" s="330">
        <v>226</v>
      </c>
      <c r="C42" s="329">
        <v>1</v>
      </c>
      <c r="E42" s="330">
        <v>226</v>
      </c>
      <c r="F42" s="329">
        <v>0</v>
      </c>
    </row>
    <row r="43" spans="2:6">
      <c r="B43" s="330">
        <v>225</v>
      </c>
      <c r="C43" s="329">
        <v>1</v>
      </c>
      <c r="E43" s="330">
        <v>225</v>
      </c>
      <c r="F43" s="329">
        <v>0</v>
      </c>
    </row>
    <row r="44" spans="2:6">
      <c r="B44" s="330">
        <v>224</v>
      </c>
      <c r="C44" s="329">
        <v>1</v>
      </c>
      <c r="E44" s="330">
        <v>224</v>
      </c>
      <c r="F44" s="329">
        <v>0</v>
      </c>
    </row>
    <row r="45" spans="2:6">
      <c r="B45" s="330">
        <v>223</v>
      </c>
      <c r="C45" s="329">
        <v>1</v>
      </c>
      <c r="E45" s="330">
        <v>223</v>
      </c>
      <c r="F45" s="329">
        <v>0</v>
      </c>
    </row>
    <row r="46" spans="2:6">
      <c r="B46" s="330">
        <v>222</v>
      </c>
      <c r="C46" s="329">
        <v>1</v>
      </c>
      <c r="E46" s="330">
        <v>222</v>
      </c>
      <c r="F46" s="329">
        <v>0</v>
      </c>
    </row>
    <row r="47" spans="2:6">
      <c r="B47" s="330">
        <v>221</v>
      </c>
      <c r="C47" s="329">
        <v>1</v>
      </c>
      <c r="E47" s="330">
        <v>221</v>
      </c>
      <c r="F47" s="329">
        <v>0</v>
      </c>
    </row>
    <row r="48" spans="2:6">
      <c r="B48" s="330">
        <v>220</v>
      </c>
      <c r="C48" s="329">
        <v>1</v>
      </c>
      <c r="E48" s="330">
        <v>220</v>
      </c>
      <c r="F48" s="329">
        <v>0</v>
      </c>
    </row>
    <row r="49" spans="2:8">
      <c r="B49" s="330">
        <v>219</v>
      </c>
      <c r="C49" s="329">
        <v>1</v>
      </c>
      <c r="E49" s="330">
        <v>219</v>
      </c>
      <c r="F49" s="329">
        <v>0</v>
      </c>
    </row>
    <row r="50" spans="2:8">
      <c r="B50" s="330">
        <v>218</v>
      </c>
      <c r="C50" s="329">
        <v>1</v>
      </c>
      <c r="E50" s="330">
        <v>218</v>
      </c>
      <c r="F50" s="329">
        <v>0</v>
      </c>
    </row>
    <row r="51" spans="2:8">
      <c r="B51" s="330">
        <v>217</v>
      </c>
      <c r="C51" s="329">
        <v>1</v>
      </c>
      <c r="E51" s="330">
        <v>217</v>
      </c>
      <c r="F51" s="329">
        <v>0</v>
      </c>
    </row>
    <row r="52" spans="2:8">
      <c r="B52" s="330">
        <v>216</v>
      </c>
      <c r="C52" s="329">
        <v>1</v>
      </c>
      <c r="E52" s="330">
        <v>216</v>
      </c>
      <c r="F52" s="329">
        <v>0</v>
      </c>
    </row>
    <row r="53" spans="2:8">
      <c r="B53" s="330">
        <v>215</v>
      </c>
      <c r="C53" s="329">
        <v>1</v>
      </c>
      <c r="E53" s="330">
        <v>215</v>
      </c>
      <c r="F53" s="329">
        <v>0</v>
      </c>
      <c r="H53" s="339"/>
    </row>
    <row r="54" spans="2:8">
      <c r="B54" s="330">
        <v>214</v>
      </c>
      <c r="C54" s="329">
        <v>1</v>
      </c>
      <c r="E54" s="330">
        <v>214</v>
      </c>
      <c r="F54" s="329">
        <v>0</v>
      </c>
      <c r="H54" s="339"/>
    </row>
    <row r="55" spans="2:8">
      <c r="B55" s="330">
        <v>213</v>
      </c>
      <c r="C55" s="329">
        <v>1</v>
      </c>
      <c r="E55" s="330">
        <v>213</v>
      </c>
      <c r="F55" s="329">
        <v>0</v>
      </c>
      <c r="H55" s="339"/>
    </row>
    <row r="56" spans="2:8">
      <c r="B56" s="330">
        <v>212</v>
      </c>
      <c r="C56" s="329">
        <v>1</v>
      </c>
      <c r="E56" s="330">
        <v>212</v>
      </c>
      <c r="F56" s="329">
        <v>0</v>
      </c>
      <c r="H56" s="339"/>
    </row>
    <row r="57" spans="2:8">
      <c r="B57" s="330">
        <v>211</v>
      </c>
      <c r="C57" s="329">
        <v>1</v>
      </c>
      <c r="E57" s="330">
        <v>211</v>
      </c>
      <c r="F57" s="329">
        <v>0</v>
      </c>
      <c r="H57" s="339"/>
    </row>
    <row r="58" spans="2:8">
      <c r="B58" s="330">
        <v>210</v>
      </c>
      <c r="C58" s="329">
        <v>1</v>
      </c>
      <c r="E58" s="330">
        <v>210</v>
      </c>
      <c r="F58" s="329">
        <v>0</v>
      </c>
      <c r="H58" s="339"/>
    </row>
    <row r="59" spans="2:8">
      <c r="B59" s="330">
        <v>209</v>
      </c>
      <c r="C59" s="329">
        <v>1</v>
      </c>
      <c r="E59" s="330">
        <v>209</v>
      </c>
      <c r="F59" s="329">
        <v>0</v>
      </c>
      <c r="H59" s="339"/>
    </row>
    <row r="60" spans="2:8">
      <c r="B60" s="330">
        <v>208</v>
      </c>
      <c r="C60" s="329">
        <v>1</v>
      </c>
      <c r="E60" s="330">
        <v>208</v>
      </c>
      <c r="F60" s="329">
        <v>0</v>
      </c>
      <c r="H60" s="339"/>
    </row>
    <row r="61" spans="2:8">
      <c r="B61" s="330">
        <v>207</v>
      </c>
      <c r="C61" s="329">
        <v>1</v>
      </c>
      <c r="E61" s="330">
        <v>207</v>
      </c>
      <c r="F61" s="329">
        <v>0</v>
      </c>
      <c r="H61" s="339"/>
    </row>
    <row r="62" spans="2:8">
      <c r="B62" s="330">
        <v>206</v>
      </c>
      <c r="C62" s="329">
        <v>1</v>
      </c>
      <c r="E62" s="330">
        <v>206</v>
      </c>
      <c r="F62" s="329">
        <v>0</v>
      </c>
      <c r="H62" s="339"/>
    </row>
    <row r="63" spans="2:8">
      <c r="B63" s="330">
        <v>205</v>
      </c>
      <c r="C63" s="329">
        <v>1</v>
      </c>
      <c r="E63" s="330">
        <v>205</v>
      </c>
      <c r="F63" s="329">
        <v>0</v>
      </c>
      <c r="H63" s="339"/>
    </row>
    <row r="64" spans="2:8">
      <c r="B64" s="330">
        <v>204</v>
      </c>
      <c r="C64" s="329">
        <v>1</v>
      </c>
      <c r="E64" s="330">
        <v>204</v>
      </c>
      <c r="F64" s="329">
        <v>0</v>
      </c>
      <c r="H64" s="339"/>
    </row>
    <row r="65" spans="2:8">
      <c r="B65" s="330">
        <v>203</v>
      </c>
      <c r="C65" s="329">
        <v>1</v>
      </c>
      <c r="E65" s="330">
        <v>203</v>
      </c>
      <c r="F65" s="329">
        <v>0</v>
      </c>
      <c r="H65" s="339"/>
    </row>
    <row r="66" spans="2:8">
      <c r="B66" s="330">
        <v>202</v>
      </c>
      <c r="C66" s="329">
        <v>1</v>
      </c>
      <c r="E66" s="330">
        <v>202</v>
      </c>
      <c r="F66" s="329">
        <v>0</v>
      </c>
      <c r="H66" s="339"/>
    </row>
    <row r="67" spans="2:8">
      <c r="B67" s="330">
        <v>201</v>
      </c>
      <c r="C67" s="329">
        <v>1</v>
      </c>
      <c r="E67" s="330">
        <v>201</v>
      </c>
      <c r="F67" s="329">
        <v>0</v>
      </c>
      <c r="H67" s="339"/>
    </row>
    <row r="68" spans="2:8">
      <c r="B68" s="330">
        <v>200</v>
      </c>
      <c r="C68" s="329">
        <v>1</v>
      </c>
      <c r="E68" s="330">
        <v>200</v>
      </c>
      <c r="F68" s="329">
        <v>0</v>
      </c>
      <c r="H68" s="339"/>
    </row>
  </sheetData>
  <phoneticPr fontId="70" type="noConversion"/>
  <pageMargins left="0.7" right="0.7" top="0.75" bottom="0.75" header="0.3" footer="0.3"/>
  <drawing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72DB0-C6DF-4A74-8636-D236F2AA0460}">
  <dimension ref="B2:J37"/>
  <sheetViews>
    <sheetView zoomScale="70" zoomScaleNormal="70" workbookViewId="0">
      <selection activeCell="D47" sqref="D47"/>
    </sheetView>
  </sheetViews>
  <sheetFormatPr defaultRowHeight="15.75"/>
  <cols>
    <col min="2" max="5" width="18.75" customWidth="1"/>
    <col min="6" max="6" width="12.625" customWidth="1"/>
    <col min="7" max="7" width="15.75" bestFit="1" customWidth="1"/>
    <col min="8" max="8" width="21.125" customWidth="1"/>
    <col min="9" max="9" width="16.875" customWidth="1"/>
    <col min="10" max="10" width="12.875" customWidth="1"/>
  </cols>
  <sheetData>
    <row r="2" spans="2:5">
      <c r="B2" s="266" t="s">
        <v>13</v>
      </c>
      <c r="C2" s="266" t="s">
        <v>14</v>
      </c>
      <c r="D2" s="267" t="s">
        <v>15</v>
      </c>
      <c r="E2" s="267" t="s">
        <v>16</v>
      </c>
    </row>
    <row r="3" spans="2:5">
      <c r="B3" s="268" t="s">
        <v>8</v>
      </c>
      <c r="C3" s="269">
        <f>'EdgeIQ Calculator'!D33</f>
        <v>200.06791759503704</v>
      </c>
      <c r="D3" s="270">
        <f>C3/12</f>
        <v>16.672326466253086</v>
      </c>
      <c r="E3" s="270">
        <f>C3/365</f>
        <v>0.54813128108229325</v>
      </c>
    </row>
    <row r="4" spans="2:5">
      <c r="B4" s="268" t="s">
        <v>9</v>
      </c>
      <c r="C4" s="269">
        <f>'EdgeIQ Calculator'!D35</f>
        <v>1397.0918000053443</v>
      </c>
      <c r="D4" s="269">
        <f t="shared" ref="D4:D8" si="0">C4/12</f>
        <v>116.42431666711202</v>
      </c>
      <c r="E4" s="270">
        <f t="shared" ref="E4:E8" si="1">C4/365</f>
        <v>3.8276487671379296</v>
      </c>
    </row>
    <row r="5" spans="2:5">
      <c r="B5" s="268" t="s">
        <v>17</v>
      </c>
      <c r="C5" s="269">
        <f>'EdgeIQ Calculator'!D37</f>
        <v>411.92030999881808</v>
      </c>
      <c r="D5" s="269">
        <f t="shared" si="0"/>
        <v>34.326692499901505</v>
      </c>
      <c r="E5" s="270">
        <f t="shared" si="1"/>
        <v>1.1285487945173098</v>
      </c>
    </row>
    <row r="6" spans="2:5">
      <c r="B6" s="268" t="s">
        <v>11</v>
      </c>
      <c r="C6" s="269">
        <f>Inputs!B36</f>
        <v>100</v>
      </c>
      <c r="D6" s="269">
        <f t="shared" si="0"/>
        <v>8.3333333333333339</v>
      </c>
      <c r="E6" s="270">
        <f t="shared" si="1"/>
        <v>0.27397260273972601</v>
      </c>
    </row>
    <row r="7" spans="2:5">
      <c r="B7" s="271" t="s">
        <v>18</v>
      </c>
      <c r="C7" s="272">
        <f>SUM(C5:C6)</f>
        <v>511.92030999881808</v>
      </c>
      <c r="D7" s="272">
        <f t="shared" si="0"/>
        <v>42.66002583323484</v>
      </c>
      <c r="E7" s="273">
        <f t="shared" si="1"/>
        <v>1.4025213972570358</v>
      </c>
    </row>
    <row r="8" spans="2:5">
      <c r="B8" s="271" t="s">
        <v>19</v>
      </c>
      <c r="C8" s="272">
        <f>SUM(C3:C4)</f>
        <v>1597.1597176003813</v>
      </c>
      <c r="D8" s="272">
        <f t="shared" si="0"/>
        <v>133.09664313336512</v>
      </c>
      <c r="E8" s="273">
        <f t="shared" si="1"/>
        <v>4.3757800482202232</v>
      </c>
    </row>
    <row r="9" spans="2:5">
      <c r="B9" s="274" t="s">
        <v>20</v>
      </c>
      <c r="C9" s="275">
        <f>SUM(C7:C8)</f>
        <v>2109.0800275991996</v>
      </c>
      <c r="D9" s="275">
        <f>C9/12</f>
        <v>175.75666896659996</v>
      </c>
      <c r="E9" s="276">
        <f>C9/365</f>
        <v>5.7783014454772594</v>
      </c>
    </row>
    <row r="19" spans="2:10">
      <c r="B19" s="277"/>
      <c r="C19" s="277"/>
      <c r="D19" s="277"/>
      <c r="E19" s="277"/>
      <c r="F19" s="277"/>
      <c r="G19" s="277"/>
      <c r="H19" s="277"/>
      <c r="I19" s="277"/>
      <c r="J19" s="277"/>
    </row>
    <row r="20" spans="2:10">
      <c r="B20" s="277"/>
      <c r="C20" s="277"/>
      <c r="D20" s="277"/>
      <c r="E20" s="277"/>
      <c r="F20" s="277"/>
      <c r="G20" s="277"/>
      <c r="H20" s="277"/>
      <c r="I20" s="277"/>
      <c r="J20" s="277"/>
    </row>
    <row r="21" spans="2:10">
      <c r="B21" s="277"/>
      <c r="C21" s="277"/>
      <c r="D21" s="277"/>
      <c r="E21" s="277"/>
      <c r="F21" s="277"/>
      <c r="G21" s="277"/>
      <c r="H21" s="277"/>
      <c r="I21" s="277"/>
      <c r="J21" s="277"/>
    </row>
    <row r="22" spans="2:10">
      <c r="B22" s="277"/>
      <c r="C22" s="277"/>
      <c r="D22" s="277"/>
      <c r="E22" s="277"/>
      <c r="F22" s="277"/>
      <c r="G22" s="277"/>
      <c r="H22" s="277"/>
      <c r="I22" s="277"/>
      <c r="J22" s="277"/>
    </row>
    <row r="23" spans="2:10">
      <c r="B23" s="277"/>
      <c r="C23" s="277"/>
      <c r="D23" s="277"/>
      <c r="E23" s="277"/>
      <c r="F23" s="277"/>
      <c r="G23" s="277"/>
      <c r="H23" s="277"/>
      <c r="I23" s="277"/>
      <c r="J23" s="277"/>
    </row>
    <row r="24" spans="2:10">
      <c r="B24" s="277"/>
      <c r="C24" s="277"/>
      <c r="D24" s="277"/>
      <c r="E24" s="277"/>
      <c r="F24" s="277"/>
      <c r="G24" s="277"/>
      <c r="H24" s="277"/>
      <c r="I24" s="277"/>
      <c r="J24" s="277"/>
    </row>
    <row r="25" spans="2:10">
      <c r="B25" s="277"/>
      <c r="C25" s="277"/>
      <c r="D25" s="277"/>
      <c r="E25" s="277"/>
      <c r="F25" s="277"/>
      <c r="G25" s="277"/>
      <c r="H25" s="277"/>
      <c r="I25" s="277"/>
      <c r="J25" s="277"/>
    </row>
    <row r="26" spans="2:10">
      <c r="B26" s="277"/>
      <c r="C26" s="277"/>
      <c r="D26" s="277"/>
      <c r="E26" s="277"/>
      <c r="F26" s="277"/>
      <c r="G26" s="277"/>
      <c r="H26" s="277"/>
      <c r="I26" s="277"/>
      <c r="J26" s="277"/>
    </row>
    <row r="27" spans="2:10">
      <c r="B27" s="277"/>
      <c r="C27" s="277"/>
      <c r="D27" s="277"/>
      <c r="E27" s="277"/>
      <c r="F27" s="277"/>
      <c r="G27" s="277"/>
      <c r="H27" s="277"/>
      <c r="I27" s="277"/>
      <c r="J27" s="277"/>
    </row>
    <row r="28" spans="2:10">
      <c r="B28" s="277"/>
      <c r="C28" s="277"/>
      <c r="D28" s="277"/>
      <c r="E28" s="277"/>
      <c r="F28" s="277"/>
      <c r="G28" s="277"/>
      <c r="H28" s="277"/>
      <c r="I28" s="277"/>
      <c r="J28" s="277"/>
    </row>
    <row r="29" spans="2:10">
      <c r="B29" s="277"/>
      <c r="C29" s="277"/>
      <c r="D29" s="277"/>
      <c r="E29" s="277"/>
      <c r="F29" s="277"/>
      <c r="G29" s="277"/>
      <c r="H29" s="277"/>
      <c r="I29" s="277"/>
      <c r="J29" s="277"/>
    </row>
    <row r="30" spans="2:10">
      <c r="B30" s="277"/>
      <c r="C30" s="277"/>
      <c r="D30" s="277"/>
      <c r="E30" s="277"/>
      <c r="F30" s="277"/>
      <c r="G30" s="277"/>
      <c r="H30" s="277"/>
      <c r="I30" s="277"/>
      <c r="J30" s="277"/>
    </row>
    <row r="31" spans="2:10">
      <c r="B31" s="277"/>
      <c r="C31" s="277"/>
      <c r="D31" s="277"/>
      <c r="E31" s="277"/>
      <c r="F31" s="277"/>
      <c r="G31" s="277"/>
      <c r="H31" s="277"/>
      <c r="I31" s="277"/>
      <c r="J31" s="277"/>
    </row>
    <row r="32" spans="2:10">
      <c r="B32" s="277"/>
      <c r="C32" s="277"/>
      <c r="D32" s="277"/>
      <c r="E32" s="277"/>
      <c r="F32" s="277"/>
      <c r="G32" s="277"/>
      <c r="H32" s="277"/>
      <c r="I32" s="277"/>
      <c r="J32" s="277"/>
    </row>
    <row r="33" spans="2:10">
      <c r="B33" s="277"/>
      <c r="C33" s="277"/>
      <c r="D33" s="277"/>
      <c r="E33" s="277"/>
      <c r="F33" s="277"/>
      <c r="G33" s="277"/>
      <c r="H33" s="277"/>
      <c r="I33" s="277"/>
      <c r="J33" s="277"/>
    </row>
    <row r="34" spans="2:10">
      <c r="B34" s="277"/>
      <c r="C34" s="277"/>
      <c r="D34" s="277"/>
      <c r="E34" s="277"/>
      <c r="F34" s="277"/>
      <c r="G34" s="277"/>
      <c r="H34" s="277"/>
      <c r="I34" s="277"/>
      <c r="J34" s="277"/>
    </row>
    <row r="35" spans="2:10">
      <c r="B35" s="277"/>
      <c r="C35" s="277"/>
      <c r="D35" s="277"/>
      <c r="E35" s="277"/>
      <c r="F35" s="277"/>
      <c r="G35" s="277"/>
      <c r="H35" s="277"/>
      <c r="I35" s="277"/>
      <c r="J35" s="277"/>
    </row>
    <row r="36" spans="2:10">
      <c r="B36" s="277"/>
      <c r="C36" s="277"/>
      <c r="D36" s="277"/>
      <c r="E36" s="277"/>
      <c r="F36" s="277"/>
      <c r="G36" s="277"/>
      <c r="H36" s="277"/>
      <c r="I36" s="277"/>
      <c r="J36" s="277"/>
    </row>
    <row r="37" spans="2:10">
      <c r="B37" s="277"/>
      <c r="C37" s="277"/>
      <c r="D37" s="277"/>
      <c r="E37" s="277"/>
      <c r="F37" s="277"/>
      <c r="G37" s="277"/>
      <c r="H37" s="277"/>
      <c r="I37" s="277"/>
      <c r="J37" s="277"/>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243"/>
  <sheetViews>
    <sheetView zoomScale="80" zoomScaleNormal="80" workbookViewId="0">
      <selection activeCell="B8" sqref="B8"/>
    </sheetView>
  </sheetViews>
  <sheetFormatPr defaultColWidth="8.625" defaultRowHeight="14.25"/>
  <cols>
    <col min="1" max="1" width="28.25" style="147" bestFit="1" customWidth="1"/>
    <col min="2" max="2" width="22.75" style="149" customWidth="1"/>
    <col min="3" max="3" width="18.875" style="147" bestFit="1" customWidth="1"/>
    <col min="4" max="4" width="16.25" style="147" customWidth="1"/>
    <col min="5" max="5" width="11.625" style="147" bestFit="1" customWidth="1"/>
    <col min="6" max="6" width="13.375" style="147" bestFit="1" customWidth="1"/>
    <col min="7" max="7" width="14" style="147" customWidth="1"/>
    <col min="8" max="8" width="13.75" style="147" customWidth="1"/>
    <col min="9" max="9" width="12.75" style="147" customWidth="1"/>
    <col min="10" max="11" width="14.25" style="147" customWidth="1"/>
    <col min="12" max="12" width="10.625" style="147" bestFit="1" customWidth="1"/>
    <col min="13" max="13" width="14.25" style="147" customWidth="1"/>
    <col min="14" max="14" width="15.125" style="147" customWidth="1"/>
    <col min="15" max="15" width="13.625" style="147" bestFit="1" customWidth="1"/>
    <col min="16" max="16" width="12.875" style="147" customWidth="1"/>
    <col min="17" max="17" width="15" style="147" customWidth="1"/>
    <col min="18" max="18" width="12" style="147" bestFit="1" customWidth="1"/>
    <col min="19" max="19" width="8.625" style="147" customWidth="1"/>
    <col min="20" max="20" width="14" style="147" customWidth="1"/>
    <col min="21" max="39" width="8.625" style="147" customWidth="1"/>
    <col min="40" max="40" width="14.375" style="147" customWidth="1"/>
    <col min="41" max="41" width="10.5" style="147" bestFit="1" customWidth="1"/>
    <col min="42" max="16384" width="8.625" style="147"/>
  </cols>
  <sheetData>
    <row r="1" spans="1:47">
      <c r="A1" s="148" t="s">
        <v>21</v>
      </c>
      <c r="B1" s="283"/>
      <c r="C1" s="284"/>
      <c r="D1" s="284"/>
      <c r="E1" s="284"/>
      <c r="F1" s="284"/>
      <c r="G1" s="284"/>
      <c r="H1" s="285"/>
      <c r="I1" s="285"/>
      <c r="J1" s="285"/>
      <c r="K1" s="285"/>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row>
    <row r="2" spans="1:47">
      <c r="A2" s="284"/>
      <c r="B2" s="284"/>
      <c r="C2" s="284"/>
      <c r="D2" s="284"/>
      <c r="E2" s="284"/>
      <c r="F2" s="284"/>
      <c r="G2" s="284"/>
      <c r="H2" s="285"/>
      <c r="I2" s="285"/>
      <c r="J2" s="284"/>
      <c r="K2" s="284"/>
      <c r="L2" s="284"/>
      <c r="M2" s="285"/>
      <c r="N2" s="285"/>
      <c r="O2" s="284"/>
      <c r="P2" s="284"/>
      <c r="Q2" s="284"/>
      <c r="R2" s="285"/>
      <c r="S2" s="285"/>
      <c r="T2" s="284"/>
      <c r="U2" s="285"/>
      <c r="V2" s="285"/>
      <c r="W2" s="284"/>
      <c r="X2" s="284"/>
      <c r="Y2" s="284"/>
      <c r="Z2" s="284"/>
      <c r="AA2" s="284"/>
      <c r="AB2" s="284"/>
      <c r="AC2" s="284"/>
      <c r="AD2" s="284"/>
      <c r="AE2" s="284"/>
      <c r="AF2" s="284"/>
      <c r="AG2" s="284"/>
      <c r="AH2" s="284"/>
      <c r="AI2" s="284"/>
      <c r="AJ2" s="284"/>
      <c r="AK2" s="284"/>
      <c r="AL2" s="284"/>
      <c r="AM2" s="284"/>
      <c r="AN2" s="284"/>
      <c r="AO2" s="284"/>
      <c r="AP2" s="284"/>
      <c r="AQ2" s="284"/>
      <c r="AR2" s="284"/>
      <c r="AS2" s="284"/>
      <c r="AT2" s="284"/>
      <c r="AU2" s="284"/>
    </row>
    <row r="3" spans="1:47">
      <c r="A3" s="346" t="s">
        <v>22</v>
      </c>
      <c r="B3" s="346"/>
      <c r="C3" s="284"/>
      <c r="D3" s="284"/>
      <c r="E3" s="284"/>
      <c r="F3" s="284"/>
      <c r="G3" s="286"/>
      <c r="H3" s="286"/>
      <c r="I3" s="284"/>
      <c r="J3" s="284"/>
      <c r="K3" s="284"/>
      <c r="L3" s="284"/>
      <c r="M3" s="284"/>
      <c r="N3" s="284"/>
      <c r="O3" s="284"/>
      <c r="P3" s="284"/>
      <c r="Q3" s="284"/>
      <c r="R3" s="287"/>
      <c r="S3" s="284"/>
      <c r="T3" s="284"/>
      <c r="U3" s="287"/>
      <c r="V3" s="284"/>
      <c r="W3" s="284"/>
      <c r="X3" s="284"/>
      <c r="Y3" s="287"/>
      <c r="Z3" s="284"/>
      <c r="AA3" s="284"/>
      <c r="AB3" s="288"/>
      <c r="AC3" s="284"/>
      <c r="AD3" s="284"/>
      <c r="AE3" s="284"/>
      <c r="AF3" s="284"/>
      <c r="AG3" s="284"/>
      <c r="AH3" s="284"/>
      <c r="AI3" s="284"/>
      <c r="AJ3" s="284"/>
      <c r="AK3" s="284"/>
      <c r="AL3" s="284"/>
      <c r="AM3" s="284"/>
      <c r="AN3" s="284"/>
      <c r="AO3" s="284"/>
      <c r="AP3" s="284"/>
      <c r="AQ3" s="284"/>
      <c r="AR3" s="284"/>
      <c r="AS3" s="284"/>
      <c r="AT3" s="284"/>
      <c r="AU3" s="284"/>
    </row>
    <row r="4" spans="1:47">
      <c r="A4" s="148" t="s">
        <v>1</v>
      </c>
      <c r="B4" s="236" t="str">
        <f>'EdgeIQ Calculator'!D17</f>
        <v>QLD</v>
      </c>
      <c r="C4" s="284"/>
      <c r="D4" s="284"/>
      <c r="E4" s="284"/>
      <c r="F4" s="284"/>
      <c r="G4" s="284"/>
      <c r="H4" s="286"/>
      <c r="I4" s="284"/>
      <c r="J4" s="284"/>
      <c r="K4" s="284"/>
      <c r="L4" s="284"/>
      <c r="M4" s="286"/>
      <c r="N4" s="286"/>
      <c r="O4" s="286"/>
      <c r="P4" s="286"/>
      <c r="Q4" s="284"/>
      <c r="R4" s="286"/>
      <c r="S4" s="286"/>
      <c r="T4" s="286"/>
      <c r="U4" s="286"/>
      <c r="V4" s="286"/>
      <c r="W4" s="286"/>
      <c r="X4" s="284"/>
      <c r="Y4" s="286"/>
      <c r="Z4" s="286"/>
      <c r="AA4" s="286"/>
      <c r="AB4" s="289"/>
      <c r="AC4" s="284"/>
      <c r="AD4" s="284"/>
      <c r="AE4" s="284"/>
      <c r="AF4" s="284"/>
      <c r="AG4" s="284"/>
      <c r="AH4" s="284"/>
      <c r="AI4" s="284"/>
      <c r="AJ4" s="284"/>
      <c r="AK4" s="284"/>
      <c r="AL4" s="284"/>
      <c r="AM4" s="284"/>
      <c r="AN4" s="284"/>
      <c r="AO4" s="284"/>
      <c r="AP4" s="284"/>
      <c r="AQ4" s="284"/>
      <c r="AR4" s="284"/>
      <c r="AS4" s="284"/>
      <c r="AT4" s="284"/>
      <c r="AU4" s="284"/>
    </row>
    <row r="5" spans="1:47">
      <c r="A5" s="290" t="s">
        <v>23</v>
      </c>
      <c r="B5" s="237">
        <f>'EdgeIQ Calculator'!D19</f>
        <v>255</v>
      </c>
      <c r="C5" s="284"/>
      <c r="D5" s="284"/>
      <c r="E5" s="284"/>
      <c r="F5" s="284"/>
      <c r="G5" s="284"/>
      <c r="H5" s="286"/>
      <c r="I5" s="284"/>
      <c r="J5" s="284"/>
      <c r="K5" s="284"/>
      <c r="L5" s="284"/>
      <c r="M5" s="286"/>
      <c r="N5" s="286"/>
      <c r="O5" s="286"/>
      <c r="P5" s="286"/>
      <c r="Q5" s="284"/>
      <c r="R5" s="286"/>
      <c r="S5" s="286"/>
      <c r="T5" s="286"/>
      <c r="U5" s="286"/>
      <c r="V5" s="286"/>
      <c r="W5" s="286"/>
      <c r="X5" s="284"/>
      <c r="Y5" s="286"/>
      <c r="Z5" s="286"/>
      <c r="AA5" s="286"/>
      <c r="AB5" s="289"/>
      <c r="AC5" s="284"/>
      <c r="AD5" s="284"/>
      <c r="AE5" s="284"/>
      <c r="AF5" s="284"/>
      <c r="AG5" s="284"/>
      <c r="AH5" s="284"/>
      <c r="AI5" s="284"/>
      <c r="AJ5" s="284"/>
      <c r="AK5" s="284"/>
      <c r="AL5" s="284"/>
      <c r="AM5" s="284"/>
      <c r="AN5" s="284"/>
      <c r="AO5" s="284"/>
      <c r="AP5" s="284"/>
      <c r="AQ5" s="284"/>
      <c r="AR5" s="284"/>
      <c r="AS5" s="284"/>
      <c r="AT5" s="284"/>
      <c r="AU5" s="284"/>
    </row>
    <row r="6" spans="1:47">
      <c r="A6" s="290" t="s">
        <v>24</v>
      </c>
      <c r="B6" s="237">
        <v>220</v>
      </c>
      <c r="C6" s="284"/>
      <c r="D6" s="284"/>
      <c r="E6" s="284"/>
      <c r="F6" s="284"/>
      <c r="G6" s="284"/>
      <c r="H6" s="286"/>
      <c r="I6" s="284"/>
      <c r="J6" s="284"/>
      <c r="K6" s="284"/>
      <c r="L6" s="284"/>
      <c r="M6" s="286"/>
      <c r="N6" s="286"/>
      <c r="O6" s="286"/>
      <c r="P6" s="286"/>
      <c r="Q6" s="284"/>
      <c r="R6" s="286"/>
      <c r="S6" s="286"/>
      <c r="T6" s="286"/>
      <c r="U6" s="286"/>
      <c r="V6" s="286"/>
      <c r="W6" s="286"/>
      <c r="X6" s="284"/>
      <c r="Y6" s="286"/>
      <c r="Z6" s="286"/>
      <c r="AA6" s="286"/>
      <c r="AB6" s="289"/>
      <c r="AC6" s="284"/>
      <c r="AD6" s="284"/>
      <c r="AE6" s="284"/>
      <c r="AF6" s="284"/>
      <c r="AG6" s="284"/>
      <c r="AH6" s="284"/>
      <c r="AI6" s="284"/>
      <c r="AJ6" s="284"/>
      <c r="AK6" s="284"/>
      <c r="AL6" s="284"/>
      <c r="AM6" s="284"/>
      <c r="AN6" s="284"/>
      <c r="AO6" s="284"/>
      <c r="AP6" s="284"/>
      <c r="AQ6" s="284"/>
      <c r="AR6" s="284"/>
      <c r="AS6" s="284"/>
      <c r="AT6" s="284"/>
      <c r="AU6" s="284"/>
    </row>
    <row r="7" spans="1:47">
      <c r="A7" s="290" t="s">
        <v>25</v>
      </c>
      <c r="B7" s="238">
        <v>258</v>
      </c>
      <c r="C7" s="284"/>
      <c r="D7" s="284"/>
      <c r="E7" s="284"/>
      <c r="F7" s="284"/>
      <c r="G7" s="284"/>
      <c r="H7" s="286"/>
      <c r="I7" s="284"/>
      <c r="J7" s="284"/>
      <c r="K7" s="284"/>
      <c r="L7" s="284"/>
      <c r="M7" s="286"/>
      <c r="N7" s="286"/>
      <c r="O7" s="286"/>
      <c r="P7" s="286"/>
      <c r="Q7" s="284"/>
      <c r="R7" s="286"/>
      <c r="S7" s="286"/>
      <c r="T7" s="286"/>
      <c r="U7" s="286"/>
      <c r="V7" s="286"/>
      <c r="W7" s="286"/>
      <c r="X7" s="284"/>
      <c r="Y7" s="286"/>
      <c r="Z7" s="286"/>
      <c r="AA7" s="286"/>
      <c r="AB7" s="289"/>
      <c r="AC7" s="284"/>
      <c r="AD7" s="284"/>
      <c r="AE7" s="284"/>
      <c r="AF7" s="284"/>
      <c r="AG7" s="284"/>
      <c r="AH7" s="284"/>
      <c r="AI7" s="284"/>
      <c r="AJ7" s="284"/>
      <c r="AK7" s="284"/>
      <c r="AL7" s="284"/>
      <c r="AM7" s="284"/>
      <c r="AN7" s="284"/>
      <c r="AO7" s="284"/>
      <c r="AP7" s="284"/>
      <c r="AQ7" s="284"/>
      <c r="AR7" s="284"/>
      <c r="AS7" s="284"/>
      <c r="AT7" s="284"/>
      <c r="AU7" s="284"/>
    </row>
    <row r="8" spans="1:47">
      <c r="A8" s="284" t="s">
        <v>26</v>
      </c>
      <c r="B8" s="239">
        <v>0.38</v>
      </c>
      <c r="C8" s="284"/>
      <c r="D8" s="284"/>
      <c r="E8" s="284"/>
      <c r="F8" s="284"/>
      <c r="G8" s="284"/>
      <c r="H8" s="286"/>
      <c r="I8" s="284"/>
      <c r="J8" s="284"/>
      <c r="K8" s="284"/>
      <c r="L8" s="284"/>
      <c r="M8" s="286"/>
      <c r="N8" s="286"/>
      <c r="O8" s="286"/>
      <c r="P8" s="286"/>
      <c r="Q8" s="284"/>
      <c r="R8" s="286"/>
      <c r="S8" s="286"/>
      <c r="T8" s="286"/>
      <c r="U8" s="286"/>
      <c r="V8" s="286"/>
      <c r="W8" s="286"/>
      <c r="X8" s="284"/>
      <c r="Y8" s="286"/>
      <c r="Z8" s="286"/>
      <c r="AA8" s="286"/>
      <c r="AB8" s="288"/>
      <c r="AC8" s="284"/>
      <c r="AD8" s="284"/>
      <c r="AE8" s="284"/>
      <c r="AF8" s="284"/>
      <c r="AG8" s="284"/>
      <c r="AH8" s="284"/>
      <c r="AI8" s="284"/>
      <c r="AJ8" s="284"/>
      <c r="AK8" s="284"/>
      <c r="AL8" s="284"/>
      <c r="AM8" s="284"/>
      <c r="AN8" s="284"/>
      <c r="AO8" s="284"/>
      <c r="AP8" s="284"/>
      <c r="AQ8" s="284"/>
      <c r="AR8" s="284"/>
      <c r="AS8" s="284"/>
      <c r="AT8" s="284"/>
      <c r="AU8" s="284"/>
    </row>
    <row r="9" spans="1:47">
      <c r="A9" s="284" t="s">
        <v>27</v>
      </c>
      <c r="B9" s="240">
        <f>'EdgeIQ Calculator'!D21*12</f>
        <v>8400</v>
      </c>
      <c r="C9" s="284"/>
      <c r="D9" s="291"/>
      <c r="E9" s="284"/>
      <c r="F9" s="284"/>
      <c r="G9" s="284"/>
      <c r="H9" s="286"/>
      <c r="I9" s="284"/>
      <c r="J9" s="284"/>
      <c r="K9" s="284"/>
      <c r="L9" s="284"/>
      <c r="M9" s="286"/>
      <c r="N9" s="286"/>
      <c r="O9" s="286"/>
      <c r="P9" s="286"/>
      <c r="Q9" s="284"/>
      <c r="R9" s="286"/>
      <c r="S9" s="286"/>
      <c r="T9" s="286"/>
      <c r="U9" s="286"/>
      <c r="V9" s="286"/>
      <c r="W9" s="286"/>
      <c r="X9" s="284"/>
      <c r="Y9" s="286"/>
      <c r="Z9" s="286"/>
      <c r="AA9" s="286"/>
      <c r="AB9" s="292"/>
      <c r="AC9" s="284"/>
      <c r="AD9" s="284"/>
      <c r="AE9" s="284"/>
      <c r="AF9" s="284"/>
      <c r="AG9" s="284"/>
      <c r="AH9" s="284"/>
      <c r="AI9" s="284"/>
      <c r="AJ9" s="284"/>
      <c r="AK9" s="284"/>
      <c r="AL9" s="284"/>
      <c r="AM9" s="284"/>
      <c r="AN9" s="148"/>
      <c r="AO9" s="293"/>
      <c r="AP9" s="293"/>
      <c r="AQ9" s="293"/>
      <c r="AR9" s="293"/>
      <c r="AS9" s="293"/>
      <c r="AT9" s="293"/>
      <c r="AU9" s="293"/>
    </row>
    <row r="10" spans="1:47" ht="14.25" customHeight="1">
      <c r="A10" s="294" t="s">
        <v>28</v>
      </c>
      <c r="B10" s="239" t="str">
        <f>IF(B14="Home",Profiles!C2,Profiles!G2)</f>
        <v>Morning/evening peak</v>
      </c>
      <c r="C10" s="284"/>
      <c r="D10" s="284"/>
      <c r="E10" s="284"/>
      <c r="F10" s="284"/>
      <c r="G10" s="284"/>
      <c r="H10" s="286"/>
      <c r="I10" s="284"/>
      <c r="J10" s="284"/>
      <c r="K10" s="284"/>
      <c r="L10" s="284"/>
      <c r="M10" s="286"/>
      <c r="N10" s="286"/>
      <c r="O10" s="286"/>
      <c r="P10" s="286"/>
      <c r="Q10" s="284"/>
      <c r="R10" s="286"/>
      <c r="S10" s="286"/>
      <c r="T10" s="286"/>
      <c r="U10" s="286"/>
      <c r="V10" s="286"/>
      <c r="W10" s="286"/>
      <c r="X10" s="284"/>
      <c r="Y10" s="286"/>
      <c r="Z10" s="286"/>
      <c r="AA10" s="286"/>
      <c r="AB10" s="284"/>
      <c r="AC10" s="284"/>
      <c r="AD10" s="284"/>
      <c r="AE10" s="284"/>
      <c r="AF10" s="284"/>
      <c r="AG10" s="284"/>
      <c r="AH10" s="284"/>
      <c r="AI10" s="284"/>
      <c r="AJ10" s="284"/>
      <c r="AK10" s="284"/>
      <c r="AL10" s="284"/>
      <c r="AM10" s="284"/>
      <c r="AN10" s="284"/>
      <c r="AO10" s="284"/>
      <c r="AP10" s="284"/>
      <c r="AQ10" s="284"/>
      <c r="AR10" s="284"/>
      <c r="AS10" s="284"/>
      <c r="AT10" s="284"/>
      <c r="AU10" s="284"/>
    </row>
    <row r="11" spans="1:47">
      <c r="A11" s="284" t="s">
        <v>29</v>
      </c>
      <c r="B11" s="239">
        <v>0.91</v>
      </c>
      <c r="C11" s="284"/>
      <c r="D11" s="284"/>
      <c r="E11" s="284"/>
      <c r="F11" s="284"/>
      <c r="G11" s="284"/>
      <c r="H11" s="286"/>
      <c r="I11" s="284"/>
      <c r="J11" s="284"/>
      <c r="K11" s="284"/>
      <c r="L11" s="284"/>
      <c r="M11" s="284"/>
      <c r="N11" s="286"/>
      <c r="O11" s="286"/>
      <c r="P11" s="286"/>
      <c r="Q11" s="284"/>
      <c r="R11" s="286"/>
      <c r="S11" s="286"/>
      <c r="T11" s="286"/>
      <c r="U11" s="286"/>
      <c r="V11" s="286"/>
      <c r="W11" s="286"/>
      <c r="X11" s="284"/>
      <c r="Y11" s="286"/>
      <c r="Z11" s="286"/>
      <c r="AA11" s="286"/>
      <c r="AB11" s="284"/>
      <c r="AC11" s="284"/>
      <c r="AD11" s="284"/>
      <c r="AE11" s="284"/>
      <c r="AF11" s="284"/>
      <c r="AG11" s="284"/>
      <c r="AH11" s="284"/>
      <c r="AI11" s="284"/>
      <c r="AJ11" s="284"/>
      <c r="AK11" s="284"/>
      <c r="AL11" s="284"/>
      <c r="AM11" s="284"/>
      <c r="AN11" s="284"/>
      <c r="AO11" s="284"/>
      <c r="AP11" s="284"/>
      <c r="AQ11" s="284"/>
      <c r="AR11" s="284"/>
      <c r="AS11" s="284"/>
      <c r="AT11" s="284"/>
      <c r="AU11" s="284"/>
    </row>
    <row r="12" spans="1:47">
      <c r="A12" s="284" t="s">
        <v>30</v>
      </c>
      <c r="B12" s="242">
        <f>'EdgeIQ Calculator'!D23</f>
        <v>0.24</v>
      </c>
      <c r="C12" s="284"/>
      <c r="D12" s="284"/>
      <c r="E12" s="284"/>
      <c r="F12" s="284"/>
      <c r="G12" s="284"/>
      <c r="H12" s="286"/>
      <c r="I12" s="284"/>
      <c r="J12" s="284"/>
      <c r="K12" s="284"/>
      <c r="L12" s="284"/>
      <c r="M12" s="284"/>
      <c r="N12" s="286"/>
      <c r="O12" s="286"/>
      <c r="P12" s="286"/>
      <c r="Q12" s="284"/>
      <c r="R12" s="286"/>
      <c r="S12" s="286"/>
      <c r="T12" s="286"/>
      <c r="U12" s="286"/>
      <c r="V12" s="286"/>
      <c r="W12" s="286"/>
      <c r="X12" s="284"/>
      <c r="Y12" s="286"/>
      <c r="Z12" s="286"/>
      <c r="AA12" s="286"/>
      <c r="AB12" s="284"/>
      <c r="AC12" s="284"/>
      <c r="AD12" s="284"/>
      <c r="AE12" s="284"/>
      <c r="AF12" s="284"/>
      <c r="AG12" s="284"/>
      <c r="AH12" s="284"/>
      <c r="AI12" s="284"/>
      <c r="AJ12" s="284"/>
      <c r="AK12" s="284"/>
      <c r="AL12" s="284"/>
      <c r="AM12" s="284"/>
      <c r="AN12" s="284"/>
      <c r="AO12" s="291"/>
      <c r="AP12" s="284"/>
      <c r="AQ12" s="284"/>
      <c r="AR12" s="284"/>
      <c r="AS12" s="284"/>
      <c r="AT12" s="284"/>
      <c r="AU12" s="284"/>
    </row>
    <row r="13" spans="1:47">
      <c r="A13" s="284" t="s">
        <v>31</v>
      </c>
      <c r="B13" s="240">
        <f>IF(B14="Home",7,6)</f>
        <v>7</v>
      </c>
      <c r="C13" s="284"/>
      <c r="D13" s="284"/>
      <c r="E13" s="284"/>
      <c r="F13" s="284"/>
      <c r="G13" s="284"/>
      <c r="H13" s="286"/>
      <c r="I13" s="284"/>
      <c r="J13" s="284"/>
      <c r="K13" s="284"/>
      <c r="L13" s="284"/>
      <c r="M13" s="286"/>
      <c r="N13" s="286"/>
      <c r="O13" s="286"/>
      <c r="P13" s="284"/>
      <c r="Q13" s="284"/>
      <c r="R13" s="284"/>
      <c r="S13" s="284"/>
      <c r="T13" s="284"/>
      <c r="U13" s="286"/>
      <c r="V13" s="286"/>
      <c r="W13" s="286"/>
      <c r="X13" s="284"/>
      <c r="Y13" s="286"/>
      <c r="Z13" s="286"/>
      <c r="AA13" s="286"/>
      <c r="AB13" s="284"/>
      <c r="AC13" s="284"/>
      <c r="AD13" s="284"/>
      <c r="AE13" s="284"/>
      <c r="AF13" s="284"/>
      <c r="AG13" s="284"/>
      <c r="AH13" s="284"/>
      <c r="AI13" s="284"/>
      <c r="AJ13" s="284"/>
      <c r="AK13" s="284"/>
      <c r="AL13" s="284"/>
      <c r="AM13" s="284"/>
      <c r="AN13" s="284"/>
      <c r="AO13" s="291"/>
      <c r="AP13" s="284"/>
      <c r="AQ13" s="284"/>
      <c r="AR13" s="284"/>
      <c r="AS13" s="284"/>
      <c r="AT13" s="284"/>
      <c r="AU13" s="284"/>
    </row>
    <row r="14" spans="1:47">
      <c r="A14" s="284" t="s">
        <v>32</v>
      </c>
      <c r="B14" s="241" t="s">
        <v>33</v>
      </c>
      <c r="C14" s="284"/>
      <c r="D14" s="284"/>
      <c r="E14" s="284"/>
      <c r="F14" s="284"/>
      <c r="G14" s="284"/>
      <c r="H14" s="286"/>
      <c r="I14" s="284"/>
      <c r="J14" s="284"/>
      <c r="K14" s="284"/>
      <c r="L14" s="284"/>
      <c r="M14" s="284"/>
      <c r="N14" s="284"/>
      <c r="O14" s="284"/>
      <c r="P14" s="284"/>
      <c r="Q14" s="284"/>
      <c r="R14" s="284"/>
      <c r="S14" s="284"/>
      <c r="T14" s="284"/>
      <c r="U14" s="286"/>
      <c r="V14" s="286"/>
      <c r="W14" s="286"/>
      <c r="X14" s="284"/>
      <c r="Y14" s="286"/>
      <c r="Z14" s="286"/>
      <c r="AA14" s="286"/>
      <c r="AB14" s="284"/>
      <c r="AC14" s="284"/>
      <c r="AD14" s="284"/>
      <c r="AE14" s="284"/>
      <c r="AF14" s="284"/>
      <c r="AG14" s="284"/>
      <c r="AH14" s="284"/>
      <c r="AI14" s="284"/>
      <c r="AJ14" s="284"/>
      <c r="AK14" s="284"/>
      <c r="AL14" s="284"/>
      <c r="AM14" s="284"/>
      <c r="AN14" s="284"/>
      <c r="AO14" s="291"/>
      <c r="AP14" s="284"/>
      <c r="AQ14" s="284"/>
      <c r="AR14" s="284"/>
      <c r="AS14" s="284"/>
      <c r="AT14" s="284"/>
      <c r="AU14" s="284"/>
    </row>
    <row r="15" spans="1:47">
      <c r="A15" s="284" t="s">
        <v>34</v>
      </c>
      <c r="B15" s="238">
        <f>VLOOKUP(B14,Table7[#All],2,FALSE)</f>
        <v>5</v>
      </c>
      <c r="C15" s="284"/>
      <c r="D15" s="284"/>
      <c r="E15" s="284"/>
      <c r="F15" s="284"/>
      <c r="G15" s="284"/>
      <c r="H15" s="286"/>
      <c r="I15" s="284"/>
      <c r="J15" s="284"/>
      <c r="K15" s="284"/>
      <c r="L15" s="284"/>
      <c r="M15" s="284"/>
      <c r="N15" s="284"/>
      <c r="O15" s="284"/>
      <c r="P15" s="284"/>
      <c r="Q15" s="284"/>
      <c r="R15" s="284"/>
      <c r="S15" s="284"/>
      <c r="T15" s="284"/>
      <c r="U15" s="286"/>
      <c r="V15" s="286"/>
      <c r="W15" s="286"/>
      <c r="X15" s="284"/>
      <c r="Y15" s="286"/>
      <c r="Z15" s="286"/>
      <c r="AA15" s="286"/>
      <c r="AB15" s="284"/>
      <c r="AC15" s="284"/>
      <c r="AD15" s="284"/>
      <c r="AE15" s="284"/>
      <c r="AF15" s="284"/>
      <c r="AG15" s="284"/>
      <c r="AH15" s="284"/>
      <c r="AI15" s="284"/>
      <c r="AJ15" s="284"/>
      <c r="AK15" s="284"/>
      <c r="AL15" s="284"/>
      <c r="AM15" s="284"/>
      <c r="AN15" s="284"/>
      <c r="AO15" s="291"/>
      <c r="AP15" s="284"/>
      <c r="AQ15" s="284"/>
      <c r="AR15" s="284"/>
      <c r="AS15" s="284"/>
      <c r="AT15" s="284"/>
      <c r="AU15" s="284"/>
    </row>
    <row r="16" spans="1:47" ht="13.15" customHeight="1">
      <c r="A16" s="346" t="s">
        <v>35</v>
      </c>
      <c r="B16" s="346"/>
      <c r="C16" s="284"/>
      <c r="D16" s="284"/>
      <c r="E16" s="284"/>
      <c r="F16" s="284"/>
      <c r="G16" s="284"/>
      <c r="H16" s="286"/>
      <c r="I16" s="284"/>
      <c r="J16" s="284"/>
      <c r="K16" s="284"/>
      <c r="L16" s="284"/>
      <c r="M16" s="286"/>
      <c r="N16" s="286"/>
      <c r="O16" s="286"/>
      <c r="P16" s="284"/>
      <c r="Q16" s="284"/>
      <c r="R16" s="284"/>
      <c r="S16" s="284"/>
      <c r="T16" s="284"/>
      <c r="U16" s="286"/>
      <c r="V16" s="286"/>
      <c r="W16" s="286"/>
      <c r="X16" s="284"/>
      <c r="Y16" s="286"/>
      <c r="Z16" s="286"/>
      <c r="AA16" s="286"/>
      <c r="AB16" s="284"/>
      <c r="AC16" s="284"/>
      <c r="AD16" s="284"/>
      <c r="AE16" s="284"/>
      <c r="AF16" s="284"/>
      <c r="AG16" s="284"/>
      <c r="AH16" s="284"/>
      <c r="AI16" s="284"/>
      <c r="AJ16" s="284"/>
      <c r="AK16" s="284"/>
      <c r="AL16" s="284"/>
      <c r="AM16" s="284"/>
      <c r="AN16" s="284"/>
      <c r="AO16" s="291"/>
    </row>
    <row r="17" spans="1:41" ht="13.15" customHeight="1">
      <c r="A17" s="284" t="s">
        <v>36</v>
      </c>
      <c r="B17" s="245">
        <f>'EdgeIQ Calculator'!D25</f>
        <v>7</v>
      </c>
      <c r="C17" s="284"/>
      <c r="D17" s="284"/>
      <c r="E17" s="284"/>
      <c r="F17" s="284"/>
      <c r="G17" s="284"/>
      <c r="H17" s="286"/>
      <c r="I17" s="284"/>
      <c r="J17" s="284"/>
      <c r="K17" s="284"/>
      <c r="L17" s="284"/>
      <c r="M17" s="286"/>
      <c r="N17" s="286"/>
      <c r="O17" s="286"/>
      <c r="P17" s="284"/>
      <c r="Q17" s="284"/>
      <c r="R17" s="284"/>
      <c r="S17" s="284"/>
      <c r="T17" s="284"/>
      <c r="U17" s="286"/>
      <c r="V17" s="286"/>
      <c r="W17" s="286"/>
      <c r="X17" s="284"/>
      <c r="Y17" s="286"/>
      <c r="Z17" s="286"/>
      <c r="AA17" s="286"/>
      <c r="AB17" s="284"/>
      <c r="AC17" s="284"/>
      <c r="AD17" s="284"/>
      <c r="AE17" s="284"/>
      <c r="AF17" s="284"/>
      <c r="AG17" s="284"/>
      <c r="AH17" s="284"/>
      <c r="AI17" s="284"/>
      <c r="AJ17" s="284"/>
      <c r="AK17" s="284"/>
      <c r="AL17" s="284"/>
      <c r="AM17" s="284"/>
      <c r="AN17" s="284"/>
      <c r="AO17" s="291"/>
    </row>
    <row r="18" spans="1:41" ht="13.15" customHeight="1">
      <c r="A18" s="295" t="s">
        <v>37</v>
      </c>
      <c r="B18" s="246">
        <f>VLOOKUP(B17,Table4[#All],IF(B4="NSW",2,IF(B4="VIC",3,IF(B4="WA",4,IF(B4="QLD",5,IF(B4="TAS",6,IF(B4="SA",7,IF(B4="NT",8,0))))))),FALSE)</f>
        <v>10731</v>
      </c>
      <c r="C18" s="296"/>
      <c r="D18" s="284"/>
      <c r="E18" s="284"/>
      <c r="F18" s="284"/>
      <c r="G18" s="284"/>
      <c r="H18" s="286"/>
      <c r="I18" s="284"/>
      <c r="J18" s="284"/>
      <c r="K18" s="284"/>
      <c r="L18" s="284"/>
      <c r="M18" s="286"/>
      <c r="N18" s="286"/>
      <c r="O18" s="286"/>
      <c r="P18" s="284"/>
      <c r="Q18" s="284"/>
      <c r="R18" s="284"/>
      <c r="S18" s="284"/>
      <c r="T18" s="284"/>
      <c r="U18" s="286"/>
      <c r="V18" s="286"/>
      <c r="W18" s="286"/>
      <c r="X18" s="284"/>
      <c r="Y18" s="286"/>
      <c r="Z18" s="286"/>
      <c r="AA18" s="286"/>
      <c r="AB18" s="284"/>
      <c r="AC18" s="284"/>
      <c r="AD18" s="284"/>
      <c r="AE18" s="284"/>
      <c r="AF18" s="284"/>
      <c r="AG18" s="284"/>
      <c r="AH18" s="284"/>
      <c r="AI18" s="284"/>
      <c r="AJ18" s="284"/>
      <c r="AK18" s="284"/>
      <c r="AL18" s="284"/>
      <c r="AM18" s="284"/>
      <c r="AN18" s="284"/>
      <c r="AO18" s="291"/>
    </row>
    <row r="19" spans="1:41" ht="13.15" customHeight="1">
      <c r="A19" s="295" t="s">
        <v>38</v>
      </c>
      <c r="B19" s="246">
        <f>('Power Flows'!AB22*'Power Flows'!C18)+('Power Flows'!AB52*'Power Flows'!C48)+('Power Flows'!AB82*'Power Flows'!C78)+('Power Flows'!AB112*'Power Flows'!C108)</f>
        <v>2025.924602762042</v>
      </c>
      <c r="C19" s="284"/>
      <c r="D19" s="284"/>
      <c r="E19" s="284"/>
      <c r="F19" s="284"/>
      <c r="G19" s="284"/>
      <c r="H19" s="286"/>
      <c r="I19" s="284"/>
      <c r="J19" s="284"/>
      <c r="K19" s="284"/>
      <c r="L19" s="284"/>
      <c r="M19" s="286"/>
      <c r="N19" s="286"/>
      <c r="O19" s="286"/>
      <c r="P19" s="284"/>
      <c r="Q19" s="284"/>
      <c r="R19" s="284"/>
      <c r="S19" s="284"/>
      <c r="T19" s="284"/>
      <c r="U19" s="286"/>
      <c r="V19" s="286"/>
      <c r="W19" s="286"/>
      <c r="X19" s="284"/>
      <c r="Y19" s="286"/>
      <c r="Z19" s="286"/>
      <c r="AA19" s="286"/>
      <c r="AB19" s="284"/>
      <c r="AC19" s="284"/>
      <c r="AD19" s="284"/>
      <c r="AE19" s="284"/>
      <c r="AF19" s="284"/>
      <c r="AG19" s="284"/>
      <c r="AH19" s="284"/>
      <c r="AI19" s="284"/>
      <c r="AJ19" s="284"/>
      <c r="AK19" s="284"/>
      <c r="AL19" s="284"/>
      <c r="AM19" s="284"/>
      <c r="AN19" s="284"/>
      <c r="AO19" s="291"/>
    </row>
    <row r="20" spans="1:41" ht="13.15" customHeight="1">
      <c r="A20" s="295" t="s">
        <v>39</v>
      </c>
      <c r="B20" s="246">
        <f>(('Power Flows'!AB143*'Power Flows'!C139)*(1+B24))+(('Power Flows'!AB173*'Power Flows'!C169)*(1+B24))+(('Power Flows'!AB203*'Power Flows'!C199)*(1+B24))+(('Power Flows'!AB233*'Power Flows'!C229)*(1+B24))</f>
        <v>10731</v>
      </c>
      <c r="C20" s="288"/>
      <c r="D20" s="284"/>
      <c r="E20" s="284"/>
      <c r="F20" s="284"/>
      <c r="G20" s="284"/>
      <c r="H20" s="286"/>
      <c r="I20" s="284"/>
      <c r="J20" s="284"/>
      <c r="K20" s="284"/>
      <c r="L20" s="284"/>
      <c r="M20" s="286"/>
      <c r="N20" s="286"/>
      <c r="O20" s="286"/>
      <c r="P20" s="284"/>
      <c r="Q20" s="284"/>
      <c r="R20" s="284"/>
      <c r="S20" s="284"/>
      <c r="T20" s="284"/>
      <c r="U20" s="286"/>
      <c r="V20" s="286"/>
      <c r="W20" s="286"/>
      <c r="X20" s="284"/>
      <c r="Y20" s="286"/>
      <c r="Z20" s="286"/>
      <c r="AA20" s="286"/>
      <c r="AB20" s="284"/>
      <c r="AC20" s="284"/>
      <c r="AD20" s="284"/>
      <c r="AE20" s="284"/>
      <c r="AF20" s="284"/>
      <c r="AG20" s="284"/>
      <c r="AH20" s="284"/>
      <c r="AI20" s="284"/>
      <c r="AJ20" s="284"/>
      <c r="AK20" s="284"/>
      <c r="AL20" s="284"/>
      <c r="AM20" s="284"/>
      <c r="AN20" s="284"/>
      <c r="AO20" s="291"/>
    </row>
    <row r="21" spans="1:41" ht="13.15" customHeight="1">
      <c r="A21" s="295" t="s">
        <v>40</v>
      </c>
      <c r="B21" s="247">
        <f>IFERROR(SUM('Power Flows'!I30:I41)/SUM('Power Flows'!I23:I46),"-")</f>
        <v>0.53999999999999992</v>
      </c>
      <c r="C21" s="284"/>
      <c r="D21" s="284"/>
      <c r="E21" s="284"/>
      <c r="F21" s="284"/>
      <c r="G21" s="284"/>
      <c r="H21" s="286"/>
      <c r="I21" s="284"/>
      <c r="J21" s="284"/>
      <c r="K21" s="284"/>
      <c r="L21" s="284"/>
      <c r="M21" s="286"/>
      <c r="N21" s="286"/>
      <c r="O21" s="286"/>
      <c r="P21" s="284"/>
      <c r="Q21" s="284"/>
      <c r="R21" s="284"/>
      <c r="S21" s="284"/>
      <c r="T21" s="284"/>
      <c r="U21" s="286"/>
      <c r="V21" s="286"/>
      <c r="W21" s="286"/>
      <c r="X21" s="284"/>
      <c r="Y21" s="286"/>
      <c r="Z21" s="286"/>
      <c r="AA21" s="286"/>
      <c r="AB21" s="284"/>
      <c r="AC21" s="284"/>
      <c r="AD21" s="284"/>
      <c r="AE21" s="284"/>
      <c r="AF21" s="284"/>
      <c r="AG21" s="284"/>
      <c r="AH21" s="284"/>
      <c r="AI21" s="284"/>
      <c r="AJ21" s="284"/>
      <c r="AK21" s="284"/>
      <c r="AL21" s="284"/>
      <c r="AM21" s="284"/>
      <c r="AN21" s="284"/>
      <c r="AO21" s="291"/>
    </row>
    <row r="22" spans="1:41" ht="13.15" customHeight="1">
      <c r="A22" s="284" t="s">
        <v>41</v>
      </c>
      <c r="B22" s="233" t="s">
        <v>42</v>
      </c>
      <c r="C22" s="284"/>
      <c r="D22" s="284"/>
      <c r="E22" s="284"/>
      <c r="F22" s="284"/>
      <c r="G22" s="284"/>
      <c r="H22" s="286"/>
      <c r="I22" s="284"/>
      <c r="J22" s="284"/>
      <c r="K22" s="284"/>
      <c r="L22" s="284"/>
      <c r="M22" s="286"/>
      <c r="N22" s="286"/>
      <c r="O22" s="286"/>
      <c r="P22" s="284"/>
      <c r="Q22" s="284"/>
      <c r="R22" s="284"/>
      <c r="S22" s="284"/>
      <c r="T22" s="284"/>
      <c r="U22" s="286"/>
      <c r="V22" s="286"/>
      <c r="W22" s="286"/>
      <c r="X22" s="284"/>
      <c r="Y22" s="286"/>
      <c r="Z22" s="286"/>
      <c r="AA22" s="286"/>
      <c r="AB22" s="284"/>
      <c r="AC22" s="284"/>
      <c r="AD22" s="284"/>
      <c r="AE22" s="284"/>
      <c r="AF22" s="284"/>
      <c r="AG22" s="284"/>
      <c r="AH22" s="284"/>
      <c r="AI22" s="284"/>
      <c r="AJ22" s="284"/>
      <c r="AK22" s="284"/>
      <c r="AL22" s="284"/>
      <c r="AM22" s="284"/>
      <c r="AN22" s="284"/>
      <c r="AO22" s="291"/>
    </row>
    <row r="23" spans="1:41" ht="13.15" customHeight="1">
      <c r="A23" s="284" t="s">
        <v>43</v>
      </c>
      <c r="B23" s="234">
        <f>'EdgeIQ Calculator'!D27</f>
        <v>0.12</v>
      </c>
      <c r="C23" s="284"/>
      <c r="D23" s="284"/>
      <c r="E23" s="284"/>
      <c r="F23" s="284"/>
      <c r="G23" s="284"/>
      <c r="H23" s="286"/>
      <c r="I23" s="284"/>
      <c r="J23" s="284"/>
      <c r="K23" s="284"/>
      <c r="L23" s="284"/>
      <c r="M23" s="286"/>
      <c r="N23" s="286"/>
      <c r="O23" s="286"/>
      <c r="P23" s="284"/>
      <c r="Q23" s="284"/>
      <c r="R23" s="284"/>
      <c r="S23" s="284"/>
      <c r="T23" s="284"/>
      <c r="U23" s="286"/>
      <c r="V23" s="286"/>
      <c r="W23" s="286"/>
      <c r="X23" s="284"/>
      <c r="Y23" s="286"/>
      <c r="Z23" s="286"/>
      <c r="AA23" s="286"/>
      <c r="AB23" s="284"/>
      <c r="AC23" s="284"/>
      <c r="AD23" s="284"/>
      <c r="AE23" s="284"/>
      <c r="AF23" s="284"/>
      <c r="AG23" s="284"/>
      <c r="AH23" s="284"/>
      <c r="AI23" s="284"/>
      <c r="AJ23" s="284"/>
      <c r="AK23" s="284"/>
      <c r="AL23" s="284"/>
      <c r="AM23" s="284"/>
      <c r="AN23" s="284"/>
      <c r="AO23" s="291"/>
    </row>
    <row r="24" spans="1:41" ht="12.4" customHeight="1">
      <c r="A24" s="284" t="s">
        <v>44</v>
      </c>
      <c r="B24" s="235">
        <v>0</v>
      </c>
      <c r="C24" s="284"/>
      <c r="D24" s="284"/>
      <c r="E24" s="284"/>
      <c r="F24" s="284"/>
      <c r="G24" s="284"/>
      <c r="H24" s="286"/>
      <c r="I24" s="284"/>
      <c r="J24" s="284"/>
      <c r="K24" s="284"/>
      <c r="L24" s="284"/>
      <c r="M24" s="286"/>
      <c r="N24" s="286"/>
      <c r="O24" s="286"/>
      <c r="P24" s="284"/>
      <c r="Q24" s="284"/>
      <c r="R24" s="284"/>
      <c r="S24" s="284"/>
      <c r="T24" s="284"/>
      <c r="U24" s="286"/>
      <c r="V24" s="286"/>
      <c r="W24" s="286"/>
      <c r="X24" s="284"/>
      <c r="Y24" s="286"/>
      <c r="Z24" s="286"/>
      <c r="AA24" s="286"/>
      <c r="AB24" s="284"/>
      <c r="AC24" s="284"/>
      <c r="AD24" s="284"/>
      <c r="AE24" s="284"/>
      <c r="AF24" s="284"/>
      <c r="AG24" s="284"/>
      <c r="AH24" s="284"/>
      <c r="AI24" s="284"/>
      <c r="AJ24" s="284"/>
      <c r="AK24" s="284"/>
      <c r="AL24" s="284"/>
      <c r="AM24" s="284"/>
      <c r="AN24" s="284"/>
      <c r="AO24" s="291"/>
    </row>
    <row r="25" spans="1:41" ht="12.4" customHeight="1">
      <c r="A25" s="338" t="s">
        <v>246</v>
      </c>
      <c r="B25" s="247">
        <f>AVERAGE('Power Flows'!L233,'Power Flows'!L203,'Power Flows'!L173,'Power Flows'!L143)</f>
        <v>0</v>
      </c>
      <c r="C25" s="284"/>
      <c r="D25" s="284"/>
      <c r="E25" s="284"/>
      <c r="F25" s="284"/>
      <c r="G25" s="284"/>
      <c r="H25" s="286"/>
      <c r="I25" s="284"/>
      <c r="J25" s="284"/>
      <c r="K25" s="284"/>
      <c r="L25" s="284"/>
      <c r="M25" s="286"/>
      <c r="N25" s="286"/>
      <c r="O25" s="286"/>
      <c r="P25" s="284"/>
      <c r="Q25" s="284"/>
      <c r="R25" s="284"/>
      <c r="S25" s="284"/>
      <c r="T25" s="284"/>
      <c r="U25" s="286"/>
      <c r="V25" s="286"/>
      <c r="W25" s="286"/>
      <c r="X25" s="284"/>
      <c r="Y25" s="286"/>
      <c r="Z25" s="286"/>
      <c r="AA25" s="286"/>
      <c r="AB25" s="284"/>
      <c r="AC25" s="284"/>
      <c r="AD25" s="284"/>
      <c r="AE25" s="284"/>
      <c r="AF25" s="284"/>
      <c r="AG25" s="284"/>
      <c r="AH25" s="284"/>
      <c r="AI25" s="284"/>
      <c r="AJ25" s="284"/>
      <c r="AK25" s="284"/>
      <c r="AL25" s="284"/>
      <c r="AM25" s="284"/>
      <c r="AN25" s="284"/>
      <c r="AO25" s="291"/>
    </row>
    <row r="26" spans="1:41" ht="12.4" customHeight="1">
      <c r="A26" s="326" t="s">
        <v>236</v>
      </c>
      <c r="B26" s="328" t="str">
        <f>'EdgeIQ Calculator'!D29</f>
        <v>Yes</v>
      </c>
      <c r="C26" s="284"/>
      <c r="D26" s="284"/>
      <c r="E26" s="284"/>
      <c r="F26" s="284"/>
      <c r="G26" s="284"/>
      <c r="H26" s="286"/>
      <c r="I26" s="284"/>
      <c r="J26" s="284"/>
      <c r="K26" s="284"/>
      <c r="L26" s="284"/>
      <c r="M26" s="286"/>
      <c r="N26" s="286"/>
      <c r="O26" s="286"/>
      <c r="P26" s="284"/>
      <c r="Q26" s="284"/>
      <c r="R26" s="284"/>
      <c r="S26" s="284"/>
      <c r="T26" s="284"/>
      <c r="U26" s="286"/>
      <c r="V26" s="286"/>
      <c r="W26" s="286"/>
      <c r="X26" s="284"/>
      <c r="Y26" s="286"/>
      <c r="Z26" s="286"/>
      <c r="AA26" s="286"/>
      <c r="AB26" s="284"/>
      <c r="AC26" s="284"/>
      <c r="AD26" s="284"/>
      <c r="AE26" s="284"/>
      <c r="AF26" s="284"/>
      <c r="AG26" s="284"/>
      <c r="AH26" s="284"/>
      <c r="AI26" s="284"/>
      <c r="AJ26" s="284"/>
      <c r="AK26" s="284"/>
      <c r="AL26" s="284"/>
      <c r="AM26" s="284"/>
      <c r="AN26" s="284"/>
      <c r="AO26" s="291"/>
    </row>
    <row r="27" spans="1:41" ht="12.4" customHeight="1">
      <c r="A27" s="326" t="s">
        <v>237</v>
      </c>
      <c r="B27" s="328" t="str">
        <f>'EdgeIQ Calculator'!D31</f>
        <v>Yes</v>
      </c>
      <c r="C27" s="284"/>
      <c r="D27" s="284"/>
      <c r="E27" s="284"/>
      <c r="F27" s="284"/>
      <c r="G27" s="284"/>
      <c r="H27" s="286"/>
      <c r="I27" s="284"/>
      <c r="J27" s="284"/>
      <c r="K27" s="284"/>
      <c r="L27" s="284"/>
      <c r="M27" s="286"/>
      <c r="N27" s="286"/>
      <c r="O27" s="286"/>
      <c r="P27" s="284"/>
      <c r="Q27" s="284"/>
      <c r="R27" s="284"/>
      <c r="S27" s="284"/>
      <c r="T27" s="284"/>
      <c r="U27" s="286"/>
      <c r="V27" s="286"/>
      <c r="W27" s="286"/>
      <c r="X27" s="284"/>
      <c r="Y27" s="286"/>
      <c r="Z27" s="286"/>
      <c r="AA27" s="286"/>
      <c r="AB27" s="284"/>
      <c r="AC27" s="284"/>
      <c r="AD27" s="284"/>
      <c r="AE27" s="284"/>
      <c r="AF27" s="284"/>
      <c r="AG27" s="284"/>
      <c r="AH27" s="284"/>
      <c r="AI27" s="284"/>
      <c r="AJ27" s="284"/>
      <c r="AK27" s="284"/>
      <c r="AL27" s="284"/>
      <c r="AM27" s="284"/>
      <c r="AN27" s="284"/>
      <c r="AO27" s="291"/>
    </row>
    <row r="28" spans="1:41">
      <c r="A28" s="284"/>
      <c r="B28" s="284"/>
      <c r="C28" s="284"/>
      <c r="D28" s="284"/>
      <c r="E28" s="284"/>
      <c r="F28" s="284"/>
      <c r="G28" s="284"/>
      <c r="H28" s="286"/>
      <c r="I28" s="284"/>
      <c r="J28" s="284"/>
      <c r="K28" s="284"/>
      <c r="L28" s="284"/>
      <c r="M28" s="286"/>
      <c r="N28" s="286"/>
      <c r="O28" s="286"/>
      <c r="P28" s="284"/>
      <c r="Q28" s="284"/>
      <c r="R28" s="284"/>
      <c r="S28" s="284"/>
      <c r="T28" s="284"/>
      <c r="U28" s="286"/>
      <c r="V28" s="286"/>
      <c r="W28" s="286"/>
      <c r="X28" s="284"/>
      <c r="Y28" s="286"/>
      <c r="Z28" s="286"/>
      <c r="AA28" s="286"/>
      <c r="AB28" s="284"/>
      <c r="AC28" s="284"/>
      <c r="AD28" s="284"/>
      <c r="AE28" s="284"/>
      <c r="AF28" s="284"/>
      <c r="AG28" s="284"/>
      <c r="AH28" s="284"/>
      <c r="AI28" s="284"/>
      <c r="AJ28" s="284"/>
      <c r="AK28" s="284"/>
      <c r="AL28" s="284"/>
      <c r="AM28" s="284"/>
      <c r="AN28" s="284"/>
      <c r="AO28" s="284"/>
    </row>
    <row r="29" spans="1:41">
      <c r="A29" s="346" t="s">
        <v>45</v>
      </c>
      <c r="B29" s="346"/>
      <c r="C29" s="284"/>
      <c r="D29" s="284"/>
      <c r="E29" s="284"/>
      <c r="F29" s="284"/>
      <c r="G29" s="284"/>
      <c r="H29" s="297"/>
      <c r="I29" s="297"/>
      <c r="J29" s="297"/>
      <c r="K29" s="297"/>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284"/>
      <c r="AO29" s="284"/>
    </row>
    <row r="30" spans="1:41">
      <c r="A30" s="284" t="s">
        <v>46</v>
      </c>
      <c r="B30" s="323">
        <v>14000</v>
      </c>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c r="AN30" s="284"/>
      <c r="AO30" s="284"/>
    </row>
    <row r="31" spans="1:41">
      <c r="A31" s="284" t="s">
        <v>47</v>
      </c>
      <c r="B31" s="243">
        <f>'Protection Calculation'!$C$17-'Protection Calculation'!$C$18*$B$5</f>
        <v>9.8519000000000005</v>
      </c>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row>
    <row r="32" spans="1:41">
      <c r="A32" s="284" t="s">
        <v>48</v>
      </c>
      <c r="B32" s="243">
        <f>'Protection Calculation'!$C$17-'Protection Calculation'!$C$18*$B$6</f>
        <v>13.873400000000004</v>
      </c>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row>
    <row r="33" spans="1:3">
      <c r="A33" s="284" t="s">
        <v>49</v>
      </c>
      <c r="B33" s="324">
        <f>($B$30/$B$31*'Protection Calculation'!$C$18*($B$5-$B$6))/('Protection Calculation'!$C$17-'Protection Calculation'!$C$18*$B$6)*(1-B25)</f>
        <v>411.92030999881808</v>
      </c>
      <c r="C33" s="284"/>
    </row>
    <row r="34" spans="1:3">
      <c r="A34" s="151" t="s">
        <v>50</v>
      </c>
      <c r="B34" s="323">
        <v>500</v>
      </c>
      <c r="C34" s="284"/>
    </row>
    <row r="35" spans="1:3">
      <c r="A35" s="151" t="s">
        <v>51</v>
      </c>
      <c r="B35" s="244">
        <v>5</v>
      </c>
      <c r="C35" s="284"/>
    </row>
    <row r="36" spans="1:3">
      <c r="A36" s="151" t="s">
        <v>52</v>
      </c>
      <c r="B36" s="324">
        <f>B34/B35</f>
        <v>100</v>
      </c>
      <c r="C36" s="284"/>
    </row>
    <row r="37" spans="1:3">
      <c r="A37" s="284"/>
      <c r="B37" s="284"/>
      <c r="C37" s="284"/>
    </row>
    <row r="38" spans="1:3">
      <c r="A38" s="347" t="s">
        <v>53</v>
      </c>
      <c r="B38" s="347"/>
      <c r="C38" s="283"/>
    </row>
    <row r="39" spans="1:3">
      <c r="A39" s="325" t="s">
        <v>54</v>
      </c>
      <c r="B39" s="325" t="s">
        <v>55</v>
      </c>
      <c r="C39" s="284"/>
    </row>
    <row r="40" spans="1:3">
      <c r="A40" s="1"/>
      <c r="B40" s="1"/>
      <c r="C40" s="284"/>
    </row>
    <row r="41" spans="1:3">
      <c r="A41" s="32">
        <v>0.26900000000000002</v>
      </c>
      <c r="B41" s="12">
        <v>0.28196233894945488</v>
      </c>
      <c r="C41" s="284"/>
    </row>
    <row r="42" spans="1:3">
      <c r="A42" s="32">
        <v>0.24399999999999999</v>
      </c>
      <c r="B42" s="12">
        <v>0.18619920713577801</v>
      </c>
      <c r="C42" s="284"/>
    </row>
    <row r="43" spans="1:3">
      <c r="A43" s="32">
        <v>0.23499999999999999</v>
      </c>
      <c r="B43" s="12">
        <v>0.21890485629335976</v>
      </c>
      <c r="C43" s="284"/>
    </row>
    <row r="44" spans="1:3" ht="14.45" customHeight="1">
      <c r="A44" s="32">
        <v>0.252</v>
      </c>
      <c r="B44" s="12">
        <v>0.31293359762140732</v>
      </c>
      <c r="C44" s="284"/>
    </row>
    <row r="45" spans="1:3">
      <c r="A45" s="11">
        <f>SUM(A41:A44)</f>
        <v>1</v>
      </c>
      <c r="B45" s="11">
        <f>SUM(B41:B44)</f>
        <v>1</v>
      </c>
      <c r="C45" s="284"/>
    </row>
    <row r="46" spans="1:3" ht="16.350000000000001" customHeight="1">
      <c r="A46" s="152"/>
      <c r="B46" s="152"/>
      <c r="C46" s="284"/>
    </row>
    <row r="47" spans="1:3" ht="16.350000000000001" customHeight="1">
      <c r="A47" s="279" t="s">
        <v>56</v>
      </c>
      <c r="B47" s="152"/>
      <c r="C47" s="284"/>
    </row>
    <row r="48" spans="1:3" ht="16.350000000000001" customHeight="1">
      <c r="A48" s="279">
        <v>1</v>
      </c>
      <c r="B48" s="152"/>
      <c r="C48" s="284"/>
    </row>
    <row r="49" spans="1:33" ht="14.25" customHeight="1">
      <c r="A49" s="279">
        <v>2</v>
      </c>
      <c r="B49" s="152"/>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row>
    <row r="50" spans="1:33" ht="15.75" customHeight="1">
      <c r="A50" s="279">
        <v>3</v>
      </c>
      <c r="B50" s="152"/>
      <c r="C50" s="284"/>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row>
    <row r="51" spans="1:33">
      <c r="A51" s="279">
        <v>4</v>
      </c>
      <c r="B51" s="152"/>
      <c r="C51" s="284"/>
      <c r="D51" s="284"/>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row>
    <row r="52" spans="1:33">
      <c r="A52" s="279">
        <v>5</v>
      </c>
      <c r="B52" s="152"/>
      <c r="C52" s="152"/>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row>
    <row r="53" spans="1:33">
      <c r="A53" s="284"/>
      <c r="B53" s="284"/>
      <c r="C53" s="152"/>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row>
    <row r="54" spans="1:33">
      <c r="A54" s="284"/>
      <c r="B54" s="284"/>
      <c r="C54" s="152"/>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84"/>
      <c r="AD54" s="284"/>
      <c r="AE54" s="284"/>
      <c r="AF54" s="284"/>
      <c r="AG54" s="284"/>
    </row>
    <row r="55" spans="1:33">
      <c r="A55" s="284"/>
      <c r="B55" s="284"/>
      <c r="C55" s="284"/>
      <c r="D55" s="284"/>
      <c r="E55" s="284"/>
      <c r="F55" s="284"/>
      <c r="G55" s="284"/>
      <c r="H55" s="284"/>
      <c r="I55" s="284"/>
      <c r="J55" s="284"/>
      <c r="K55" s="284"/>
      <c r="L55" s="284"/>
      <c r="M55" s="284"/>
      <c r="N55" s="284"/>
      <c r="O55" s="284"/>
      <c r="P55" s="284"/>
      <c r="Q55" s="284"/>
      <c r="R55" s="290"/>
      <c r="S55" s="290"/>
      <c r="T55" s="290"/>
      <c r="U55" s="290"/>
      <c r="V55" s="290"/>
      <c r="W55" s="290"/>
      <c r="X55" s="290"/>
      <c r="Y55" s="290"/>
      <c r="Z55" s="290"/>
      <c r="AA55" s="290"/>
      <c r="AB55" s="290"/>
      <c r="AC55" s="290"/>
      <c r="AD55" s="290"/>
      <c r="AE55" s="290"/>
      <c r="AF55" s="290"/>
      <c r="AG55" s="290"/>
    </row>
    <row r="56" spans="1:33">
      <c r="A56" s="290"/>
      <c r="B56" s="290"/>
      <c r="C56" s="284"/>
      <c r="D56" s="284"/>
      <c r="E56" s="284"/>
      <c r="F56" s="284"/>
      <c r="G56" s="284"/>
      <c r="H56" s="284"/>
      <c r="I56" s="284"/>
      <c r="J56" s="284"/>
      <c r="K56" s="284"/>
      <c r="L56" s="284"/>
      <c r="M56" s="284"/>
      <c r="N56" s="284"/>
      <c r="O56" s="284"/>
      <c r="P56" s="284"/>
      <c r="Q56" s="284"/>
      <c r="R56" s="284"/>
      <c r="S56" s="284"/>
      <c r="T56" s="284"/>
      <c r="U56" s="284"/>
      <c r="V56" s="284"/>
      <c r="W56" s="284"/>
      <c r="X56" s="284"/>
      <c r="Y56" s="284"/>
      <c r="Z56" s="284"/>
      <c r="AA56" s="284"/>
      <c r="AB56" s="284"/>
      <c r="AC56" s="284"/>
      <c r="AD56" s="284"/>
      <c r="AE56" s="284"/>
      <c r="AF56" s="284"/>
      <c r="AG56" s="284"/>
    </row>
    <row r="57" spans="1:33">
      <c r="A57" s="284"/>
      <c r="B57" s="284"/>
      <c r="C57" s="284"/>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row>
    <row r="58" spans="1:33">
      <c r="A58" s="284"/>
      <c r="B58" s="284"/>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row>
    <row r="59" spans="1:33">
      <c r="A59" s="284"/>
      <c r="B59" s="284"/>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row>
    <row r="60" spans="1:33">
      <c r="A60" s="284"/>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row>
    <row r="61" spans="1:33">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row>
    <row r="62" spans="1:33" s="150" customFormat="1">
      <c r="A62" s="284"/>
      <c r="B62" s="284"/>
      <c r="C62" s="290"/>
      <c r="D62" s="290"/>
      <c r="E62" s="290"/>
      <c r="F62" s="290"/>
      <c r="G62" s="290"/>
      <c r="H62" s="290"/>
      <c r="I62" s="290"/>
      <c r="J62" s="290"/>
      <c r="K62" s="290"/>
      <c r="L62" s="290"/>
      <c r="M62" s="284"/>
      <c r="N62" s="284"/>
      <c r="O62" s="284"/>
      <c r="P62" s="284"/>
      <c r="Q62" s="284"/>
      <c r="R62" s="284"/>
      <c r="S62" s="284"/>
      <c r="T62" s="284"/>
      <c r="U62" s="284"/>
      <c r="V62" s="284"/>
      <c r="W62" s="284"/>
      <c r="X62" s="284"/>
      <c r="Y62" s="284"/>
      <c r="Z62" s="284"/>
      <c r="AA62" s="284"/>
      <c r="AB62" s="284"/>
      <c r="AC62" s="284"/>
      <c r="AD62" s="284"/>
      <c r="AE62" s="284"/>
      <c r="AF62" s="284"/>
      <c r="AG62" s="284"/>
    </row>
    <row r="63" spans="1:33" ht="14.25" customHeight="1">
      <c r="A63" s="284"/>
      <c r="B63" s="284"/>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284"/>
    </row>
    <row r="64" spans="1:33" ht="15.75" customHeight="1">
      <c r="A64" s="284"/>
      <c r="B64" s="284"/>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row>
    <row r="65" spans="1:14" ht="15.75" customHeight="1">
      <c r="A65" s="284"/>
      <c r="B65" s="284"/>
      <c r="C65" s="284"/>
      <c r="D65" s="284"/>
      <c r="E65" s="284"/>
      <c r="F65" s="284"/>
      <c r="G65" s="284"/>
      <c r="H65" s="284"/>
      <c r="I65" s="284"/>
      <c r="J65" s="284"/>
      <c r="K65" s="284"/>
      <c r="L65" s="284"/>
      <c r="M65" s="284"/>
      <c r="N65" s="284"/>
    </row>
    <row r="66" spans="1:14" ht="15" customHeight="1">
      <c r="A66" s="284"/>
      <c r="B66" s="284"/>
      <c r="C66" s="284"/>
      <c r="D66" s="284"/>
      <c r="E66" s="284"/>
      <c r="F66" s="284"/>
      <c r="G66" s="284"/>
      <c r="H66" s="284"/>
      <c r="I66" s="284"/>
      <c r="J66" s="284"/>
      <c r="K66" s="284"/>
      <c r="L66" s="284"/>
      <c r="M66" s="284"/>
      <c r="N66" s="284"/>
    </row>
    <row r="67" spans="1:14" ht="15.75" customHeight="1">
      <c r="A67" s="284"/>
      <c r="B67" s="284"/>
      <c r="C67" s="284"/>
      <c r="D67" s="284"/>
      <c r="E67" s="284"/>
      <c r="F67" s="284"/>
      <c r="G67" s="284"/>
      <c r="H67" s="284"/>
      <c r="I67" s="284"/>
      <c r="J67" s="284"/>
      <c r="K67" s="284"/>
      <c r="L67" s="284"/>
      <c r="M67" s="284"/>
      <c r="N67" s="284"/>
    </row>
    <row r="68" spans="1:14">
      <c r="A68" s="284"/>
      <c r="B68" s="284"/>
      <c r="C68" s="284"/>
      <c r="D68" s="284"/>
      <c r="E68" s="284"/>
      <c r="F68" s="284"/>
      <c r="G68" s="284"/>
      <c r="H68" s="284"/>
      <c r="I68" s="284"/>
      <c r="J68" s="284"/>
      <c r="K68" s="284"/>
      <c r="L68" s="284"/>
      <c r="M68" s="284"/>
      <c r="N68" s="284"/>
    </row>
    <row r="69" spans="1:14">
      <c r="A69" s="284"/>
      <c r="B69" s="284"/>
      <c r="C69" s="284"/>
      <c r="D69" s="284"/>
      <c r="E69" s="284"/>
      <c r="F69" s="284"/>
      <c r="G69" s="284"/>
      <c r="H69" s="284"/>
      <c r="I69" s="284"/>
      <c r="J69" s="284"/>
      <c r="K69" s="284"/>
      <c r="L69" s="284"/>
      <c r="M69" s="284"/>
      <c r="N69" s="284"/>
    </row>
    <row r="70" spans="1:14">
      <c r="A70" s="284"/>
      <c r="B70" s="284"/>
      <c r="C70" s="284"/>
      <c r="D70" s="284"/>
      <c r="E70" s="284"/>
      <c r="F70" s="284"/>
      <c r="G70" s="284"/>
      <c r="H70" s="284"/>
      <c r="I70" s="284"/>
      <c r="J70" s="284"/>
      <c r="K70" s="284"/>
      <c r="L70" s="284"/>
      <c r="M70" s="284"/>
      <c r="N70" s="284"/>
    </row>
    <row r="71" spans="1:14">
      <c r="A71" s="153"/>
      <c r="B71" s="153"/>
      <c r="C71" s="284"/>
      <c r="D71" s="284"/>
      <c r="E71" s="284"/>
      <c r="F71" s="284"/>
      <c r="G71" s="284"/>
      <c r="H71" s="284"/>
      <c r="I71" s="284"/>
      <c r="J71" s="284"/>
      <c r="K71" s="284"/>
      <c r="L71" s="284"/>
      <c r="M71" s="284"/>
      <c r="N71" s="298"/>
    </row>
    <row r="72" spans="1:14">
      <c r="A72" s="153"/>
      <c r="B72" s="153"/>
      <c r="C72" s="284"/>
      <c r="D72" s="284"/>
      <c r="E72" s="284"/>
      <c r="F72" s="284"/>
      <c r="G72" s="284"/>
      <c r="H72" s="284"/>
      <c r="I72" s="284"/>
      <c r="J72" s="284"/>
      <c r="K72" s="284"/>
      <c r="L72" s="284"/>
      <c r="M72" s="284"/>
      <c r="N72" s="299"/>
    </row>
    <row r="73" spans="1:14">
      <c r="A73" s="153"/>
      <c r="B73" s="153"/>
      <c r="C73" s="284"/>
      <c r="D73" s="284"/>
      <c r="E73" s="284"/>
      <c r="F73" s="284"/>
      <c r="G73" s="284"/>
      <c r="H73" s="284"/>
      <c r="I73" s="284"/>
      <c r="J73" s="284"/>
      <c r="K73" s="284"/>
      <c r="L73" s="284"/>
      <c r="M73" s="284"/>
      <c r="N73" s="284"/>
    </row>
    <row r="74" spans="1:14">
      <c r="A74" s="153"/>
      <c r="B74" s="153"/>
      <c r="C74" s="284"/>
      <c r="D74" s="284"/>
      <c r="E74" s="284"/>
      <c r="F74" s="284"/>
      <c r="G74" s="284"/>
      <c r="H74" s="284"/>
      <c r="I74" s="284"/>
      <c r="J74" s="284"/>
      <c r="K74" s="284"/>
      <c r="L74" s="284"/>
      <c r="M74" s="284"/>
      <c r="N74" s="284"/>
    </row>
    <row r="75" spans="1:14">
      <c r="A75" s="153"/>
      <c r="B75" s="153"/>
      <c r="C75" s="284"/>
      <c r="D75" s="284"/>
      <c r="E75" s="284"/>
      <c r="F75" s="284"/>
      <c r="G75" s="284"/>
      <c r="H75" s="284"/>
      <c r="I75" s="284"/>
      <c r="J75" s="284"/>
      <c r="K75" s="284"/>
      <c r="L75" s="284"/>
      <c r="M75" s="284"/>
      <c r="N75" s="284"/>
    </row>
    <row r="76" spans="1:14">
      <c r="A76" s="153"/>
      <c r="B76" s="153"/>
      <c r="C76" s="284"/>
      <c r="D76" s="284"/>
      <c r="E76" s="284"/>
      <c r="F76" s="284"/>
      <c r="G76" s="284"/>
      <c r="H76" s="284"/>
      <c r="I76" s="284"/>
      <c r="J76" s="284"/>
      <c r="K76" s="284"/>
      <c r="L76" s="284"/>
      <c r="M76" s="284"/>
      <c r="N76" s="284"/>
    </row>
    <row r="77" spans="1:14">
      <c r="A77" s="153"/>
      <c r="B77" s="153"/>
      <c r="C77" s="153"/>
      <c r="D77" s="284"/>
      <c r="E77" s="284"/>
      <c r="F77" s="284"/>
      <c r="G77" s="284"/>
      <c r="H77" s="284"/>
      <c r="I77" s="284"/>
      <c r="J77" s="284"/>
      <c r="K77" s="284"/>
      <c r="L77" s="284"/>
      <c r="M77" s="284"/>
      <c r="N77" s="284"/>
    </row>
    <row r="78" spans="1:14">
      <c r="A78" s="153"/>
      <c r="B78" s="153"/>
      <c r="C78" s="153"/>
      <c r="D78" s="284"/>
      <c r="E78" s="284"/>
      <c r="F78" s="284"/>
      <c r="G78" s="284"/>
      <c r="H78" s="284"/>
      <c r="I78" s="284"/>
      <c r="J78" s="284"/>
      <c r="K78" s="284"/>
      <c r="L78" s="284"/>
      <c r="M78" s="284"/>
      <c r="N78" s="284"/>
    </row>
    <row r="79" spans="1:14">
      <c r="A79" s="153"/>
      <c r="B79" s="153"/>
      <c r="C79" s="153"/>
      <c r="D79" s="284"/>
      <c r="E79" s="284"/>
      <c r="F79" s="284"/>
      <c r="G79" s="284"/>
      <c r="H79" s="284"/>
      <c r="I79" s="284"/>
      <c r="J79" s="284"/>
      <c r="K79" s="284"/>
      <c r="L79" s="284"/>
      <c r="M79" s="284"/>
      <c r="N79" s="284"/>
    </row>
    <row r="80" spans="1:14">
      <c r="A80" s="153"/>
      <c r="B80" s="153"/>
      <c r="C80" s="153"/>
      <c r="D80" s="284"/>
      <c r="E80" s="284"/>
      <c r="F80" s="284"/>
      <c r="G80" s="284"/>
      <c r="H80" s="284"/>
      <c r="I80" s="284"/>
      <c r="J80" s="284"/>
      <c r="K80" s="284"/>
      <c r="L80" s="284"/>
      <c r="M80" s="284"/>
      <c r="N80" s="284"/>
    </row>
    <row r="81" spans="1:9">
      <c r="A81" s="300"/>
      <c r="B81" s="301"/>
      <c r="C81" s="302"/>
      <c r="D81" s="284"/>
      <c r="E81" s="284"/>
      <c r="F81" s="284"/>
      <c r="G81" s="284"/>
      <c r="H81" s="284"/>
      <c r="I81" s="153"/>
    </row>
    <row r="82" spans="1:9">
      <c r="A82" s="284"/>
      <c r="B82" s="296"/>
      <c r="C82" s="302"/>
      <c r="D82" s="284"/>
      <c r="E82" s="284"/>
      <c r="F82" s="284"/>
      <c r="G82" s="284"/>
      <c r="H82" s="284"/>
      <c r="I82" s="153"/>
    </row>
    <row r="83" spans="1:9">
      <c r="A83" s="300"/>
      <c r="B83" s="301"/>
      <c r="C83" s="302"/>
      <c r="D83" s="284"/>
      <c r="E83" s="284"/>
      <c r="F83" s="284"/>
      <c r="G83" s="284"/>
      <c r="H83" s="284"/>
      <c r="I83" s="153"/>
    </row>
    <row r="84" spans="1:9">
      <c r="A84" s="284"/>
      <c r="B84" s="284"/>
      <c r="C84" s="284"/>
      <c r="D84" s="284"/>
      <c r="E84" s="284"/>
      <c r="F84" s="284"/>
      <c r="G84" s="284"/>
      <c r="H84" s="284"/>
      <c r="I84" s="153"/>
    </row>
    <row r="85" spans="1:9">
      <c r="A85" s="284"/>
      <c r="B85" s="284"/>
      <c r="C85" s="284"/>
      <c r="D85" s="284"/>
      <c r="E85" s="284"/>
      <c r="F85" s="284"/>
      <c r="G85" s="284"/>
      <c r="H85" s="284"/>
      <c r="I85" s="153"/>
    </row>
    <row r="86" spans="1:9">
      <c r="A86" s="284"/>
      <c r="B86" s="284"/>
      <c r="C86" s="284"/>
      <c r="D86" s="284"/>
      <c r="E86" s="284"/>
      <c r="F86" s="284"/>
      <c r="G86" s="284"/>
      <c r="H86" s="284"/>
      <c r="I86" s="153"/>
    </row>
    <row r="87" spans="1:9">
      <c r="A87" s="284"/>
      <c r="B87" s="284"/>
      <c r="C87" s="284"/>
      <c r="D87" s="284"/>
      <c r="E87" s="284"/>
      <c r="F87" s="284"/>
      <c r="G87" s="284"/>
      <c r="H87" s="284"/>
      <c r="I87" s="284"/>
    </row>
    <row r="88" spans="1:9">
      <c r="A88" s="284"/>
      <c r="B88" s="284"/>
      <c r="C88" s="284"/>
      <c r="D88" s="284"/>
      <c r="E88" s="284"/>
      <c r="F88" s="284"/>
      <c r="G88" s="284"/>
      <c r="H88" s="284"/>
      <c r="I88" s="284"/>
    </row>
    <row r="89" spans="1:9">
      <c r="A89" s="284"/>
      <c r="B89" s="284"/>
      <c r="C89" s="284"/>
      <c r="D89" s="284"/>
      <c r="E89" s="284"/>
      <c r="F89" s="284"/>
      <c r="G89" s="284"/>
      <c r="H89" s="284"/>
      <c r="I89" s="284"/>
    </row>
    <row r="90" spans="1:9">
      <c r="A90" s="284"/>
      <c r="B90" s="284"/>
      <c r="C90" s="284"/>
      <c r="D90" s="284"/>
      <c r="E90" s="284"/>
      <c r="F90" s="284"/>
      <c r="G90" s="284"/>
      <c r="H90" s="284"/>
      <c r="I90" s="284"/>
    </row>
    <row r="91" spans="1:9">
      <c r="A91" s="284"/>
      <c r="B91" s="284"/>
      <c r="C91" s="284"/>
      <c r="D91" s="284"/>
      <c r="E91" s="284"/>
      <c r="F91" s="284"/>
      <c r="G91" s="284"/>
      <c r="H91" s="284"/>
      <c r="I91" s="284"/>
    </row>
    <row r="92" spans="1:9">
      <c r="A92" s="284"/>
      <c r="B92" s="284"/>
      <c r="C92" s="284"/>
      <c r="D92" s="284"/>
      <c r="E92" s="284"/>
      <c r="F92" s="284"/>
      <c r="G92" s="284"/>
      <c r="H92" s="284"/>
      <c r="I92" s="284"/>
    </row>
    <row r="93" spans="1:9">
      <c r="A93" s="284"/>
      <c r="B93" s="284"/>
      <c r="C93" s="284"/>
      <c r="D93" s="284"/>
      <c r="E93" s="284"/>
      <c r="F93" s="284"/>
      <c r="G93" s="284"/>
      <c r="H93" s="284"/>
      <c r="I93" s="284"/>
    </row>
    <row r="94" spans="1:9">
      <c r="A94" s="284"/>
      <c r="B94" s="284"/>
      <c r="C94" s="284"/>
      <c r="D94" s="284"/>
      <c r="E94" s="284"/>
      <c r="F94" s="284"/>
      <c r="G94" s="284"/>
      <c r="H94" s="284"/>
      <c r="I94" s="284"/>
    </row>
    <row r="95" spans="1:9">
      <c r="A95" s="284"/>
      <c r="B95" s="284"/>
      <c r="C95" s="284"/>
      <c r="D95" s="284"/>
      <c r="E95" s="284"/>
      <c r="F95" s="284"/>
      <c r="G95" s="284"/>
      <c r="H95" s="284"/>
      <c r="I95" s="284"/>
    </row>
    <row r="96" spans="1:9">
      <c r="A96" s="284"/>
      <c r="B96" s="284"/>
      <c r="C96" s="284"/>
      <c r="D96" s="284"/>
      <c r="E96" s="284"/>
      <c r="F96" s="284"/>
      <c r="G96" s="284"/>
      <c r="H96" s="284"/>
      <c r="I96" s="284"/>
    </row>
    <row r="97" spans="2:2">
      <c r="B97" s="284"/>
    </row>
    <row r="98" spans="2:2">
      <c r="B98" s="284"/>
    </row>
    <row r="99" spans="2:2">
      <c r="B99" s="284"/>
    </row>
    <row r="100" spans="2:2">
      <c r="B100" s="284"/>
    </row>
    <row r="101" spans="2:2">
      <c r="B101" s="284"/>
    </row>
    <row r="102" spans="2:2">
      <c r="B102" s="284"/>
    </row>
    <row r="103" spans="2:2">
      <c r="B103" s="284"/>
    </row>
    <row r="104" spans="2:2">
      <c r="B104" s="284"/>
    </row>
    <row r="105" spans="2:2">
      <c r="B105" s="284"/>
    </row>
    <row r="106" spans="2:2">
      <c r="B106" s="284"/>
    </row>
    <row r="107" spans="2:2">
      <c r="B107" s="284"/>
    </row>
    <row r="108" spans="2:2">
      <c r="B108" s="284"/>
    </row>
    <row r="109" spans="2:2">
      <c r="B109" s="284"/>
    </row>
    <row r="110" spans="2:2">
      <c r="B110" s="284"/>
    </row>
    <row r="111" spans="2:2">
      <c r="B111" s="284"/>
    </row>
    <row r="112" spans="2:2">
      <c r="B112" s="284"/>
    </row>
    <row r="113" spans="2:2">
      <c r="B113" s="284"/>
    </row>
    <row r="114" spans="2:2">
      <c r="B114" s="284"/>
    </row>
    <row r="115" spans="2:2">
      <c r="B115" s="284"/>
    </row>
    <row r="116" spans="2:2">
      <c r="B116" s="284"/>
    </row>
    <row r="117" spans="2:2">
      <c r="B117" s="284"/>
    </row>
    <row r="118" spans="2:2">
      <c r="B118" s="284"/>
    </row>
    <row r="119" spans="2:2">
      <c r="B119" s="284"/>
    </row>
    <row r="120" spans="2:2">
      <c r="B120" s="284"/>
    </row>
    <row r="121" spans="2:2">
      <c r="B121" s="284"/>
    </row>
    <row r="122" spans="2:2">
      <c r="B122" s="284"/>
    </row>
    <row r="123" spans="2:2">
      <c r="B123" s="284"/>
    </row>
    <row r="124" spans="2:2">
      <c r="B124" s="284"/>
    </row>
    <row r="125" spans="2:2">
      <c r="B125" s="284"/>
    </row>
    <row r="126" spans="2:2">
      <c r="B126" s="284"/>
    </row>
    <row r="130" spans="11:11">
      <c r="K130" s="286"/>
    </row>
    <row r="131" spans="11:11">
      <c r="K131" s="286"/>
    </row>
    <row r="242" spans="1:1">
      <c r="A242" s="327" t="s">
        <v>238</v>
      </c>
    </row>
    <row r="243" spans="1:1">
      <c r="A243" s="327" t="s">
        <v>239</v>
      </c>
    </row>
  </sheetData>
  <mergeCells count="4">
    <mergeCell ref="A3:B3"/>
    <mergeCell ref="A29:B29"/>
    <mergeCell ref="A16:B16"/>
    <mergeCell ref="A38:B38"/>
  </mergeCells>
  <dataValidations count="1">
    <dataValidation type="list" allowBlank="1" showInputMessage="1" showErrorMessage="1" sqref="B26:B27" xr:uid="{77DF6A80-4BDB-4B11-A1E3-D3BC172C7AC8}">
      <formula1>$A$242:$A$243</formula1>
    </dataValidation>
  </dataValidations>
  <pageMargins left="0.7" right="0.7" top="0.75" bottom="0.75" header="0.3" footer="0.3"/>
  <pageSetup paperSize="9" scale="57"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Profiles!$C$2:$H$2</xm:f>
          </x14:formula1>
          <xm:sqref>B10</xm:sqref>
        </x14:dataValidation>
        <x14:dataValidation type="list" allowBlank="1" showInputMessage="1" showErrorMessage="1" xr:uid="{2C3B0838-9C80-42ED-AD9B-2FD6E49184E3}">
          <x14:formula1>
            <xm:f>'Reference Tables'!$B$17:$B$18</xm:f>
          </x14:formula1>
          <xm:sqref>B14</xm:sqref>
        </x14:dataValidation>
        <x14:dataValidation type="list" allowBlank="1" showInputMessage="1" showErrorMessage="1" xr:uid="{00000000-0002-0000-0000-000000000000}">
          <x14:formula1>
            <xm:f>'Reference Tables'!#REF!</xm:f>
          </x14:formula1>
          <xm:sqref>B22 B4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B3:AQ260"/>
  <sheetViews>
    <sheetView topLeftCell="R196" zoomScale="53" zoomScaleNormal="53" workbookViewId="0">
      <selection activeCell="AD234" sqref="AD234:AD257"/>
    </sheetView>
  </sheetViews>
  <sheetFormatPr defaultColWidth="8.875" defaultRowHeight="14.25"/>
  <cols>
    <col min="1" max="1" width="8.875" style="37"/>
    <col min="2" max="2" width="30.5" style="37" customWidth="1"/>
    <col min="3" max="3" width="18.5" style="121" bestFit="1" customWidth="1"/>
    <col min="4" max="4" width="17.875" style="121" bestFit="1" customWidth="1"/>
    <col min="5" max="5" width="18.75" style="121" bestFit="1" customWidth="1"/>
    <col min="6" max="6" width="22.125" style="121" bestFit="1" customWidth="1"/>
    <col min="7" max="7" width="16.5" style="121" bestFit="1" customWidth="1"/>
    <col min="8" max="8" width="13.625" style="121" customWidth="1"/>
    <col min="9" max="9" width="15.125" style="37" customWidth="1"/>
    <col min="10" max="10" width="18.125" style="37" customWidth="1"/>
    <col min="11" max="11" width="15.75" style="37" customWidth="1"/>
    <col min="12" max="14" width="13.875" style="37" customWidth="1"/>
    <col min="15" max="15" width="15.25" style="37" customWidth="1"/>
    <col min="16" max="16" width="15.625" style="37" customWidth="1"/>
    <col min="17" max="17" width="14" style="37" customWidth="1"/>
    <col min="18" max="18" width="14.875" style="37" bestFit="1" customWidth="1"/>
    <col min="19" max="19" width="13.875" style="37" customWidth="1"/>
    <col min="20" max="20" width="15.625" style="37" customWidth="1"/>
    <col min="21" max="21" width="21.625" style="37" bestFit="1" customWidth="1"/>
    <col min="22" max="22" width="14.125" style="37" bestFit="1" customWidth="1"/>
    <col min="23" max="23" width="12.125" style="37" bestFit="1" customWidth="1"/>
    <col min="24" max="25" width="16.125" style="37" customWidth="1"/>
    <col min="26" max="26" width="17.875" style="37" customWidth="1"/>
    <col min="27" max="27" width="17.5" style="37" customWidth="1"/>
    <col min="28" max="28" width="16.75" style="37" bestFit="1" customWidth="1"/>
    <col min="29" max="29" width="18.375" style="37" customWidth="1"/>
    <col min="30" max="30" width="19.75" style="37" customWidth="1"/>
    <col min="31" max="31" width="16.875" style="37" customWidth="1"/>
    <col min="32" max="32" width="18.375" style="37" customWidth="1"/>
    <col min="33" max="33" width="18.5" style="37" customWidth="1"/>
    <col min="34" max="35" width="19.375" style="37" customWidth="1"/>
    <col min="36" max="38" width="16.125" style="37" customWidth="1"/>
    <col min="39" max="39" width="15.875" style="37" customWidth="1"/>
    <col min="40" max="40" width="21.625" style="37" customWidth="1"/>
    <col min="41" max="43" width="8.875" style="37"/>
    <col min="44" max="44" width="14.625" style="37" customWidth="1"/>
    <col min="45" max="45" width="13.375" style="37" customWidth="1"/>
    <col min="46" max="16384" width="8.875" style="37"/>
  </cols>
  <sheetData>
    <row r="3" spans="2:33">
      <c r="B3" s="249" t="s">
        <v>57</v>
      </c>
      <c r="AG3" s="303"/>
    </row>
    <row r="4" spans="2:33">
      <c r="C4" s="37"/>
      <c r="D4" s="37"/>
      <c r="E4" s="37"/>
      <c r="F4" s="37"/>
      <c r="G4" s="37"/>
      <c r="AG4" s="48"/>
    </row>
    <row r="5" spans="2:33">
      <c r="B5" s="304" t="s">
        <v>58</v>
      </c>
      <c r="C5" s="303" t="s">
        <v>59</v>
      </c>
      <c r="D5" s="303" t="s">
        <v>60</v>
      </c>
      <c r="E5" s="303" t="s">
        <v>61</v>
      </c>
      <c r="F5" s="303" t="s">
        <v>62</v>
      </c>
      <c r="G5" s="257" t="s">
        <v>244</v>
      </c>
      <c r="H5" s="333" t="s">
        <v>20</v>
      </c>
    </row>
    <row r="6" spans="2:33">
      <c r="B6" s="304" t="s">
        <v>63</v>
      </c>
      <c r="C6" s="293">
        <f>((K22-K143)*$C$18)</f>
        <v>224.24279097110397</v>
      </c>
      <c r="D6" s="293">
        <f>(O143-O22)*$C$18</f>
        <v>1183.7533712051536</v>
      </c>
      <c r="E6" s="293">
        <f>(S22-S143)*$C$18</f>
        <v>1218.9527883012886</v>
      </c>
      <c r="F6" s="293">
        <f>(AA22-AA143)*$C$18</f>
        <v>97.44164384780224</v>
      </c>
      <c r="G6" s="293">
        <f>(AH22-AH143)*$C$18</f>
        <v>254.43227942715555</v>
      </c>
      <c r="H6" s="332">
        <f>SUM(C6:G6)</f>
        <v>2978.8228737525042</v>
      </c>
      <c r="R6" s="248"/>
    </row>
    <row r="7" spans="2:33">
      <c r="B7" s="304" t="s">
        <v>64</v>
      </c>
      <c r="C7" s="293">
        <f>((K52-K173)*$C$48)</f>
        <v>203.40238288828823</v>
      </c>
      <c r="D7" s="293">
        <f>(O173-O52)*$C$48</f>
        <v>623.94117948463872</v>
      </c>
      <c r="E7" s="293">
        <f>(S52-S173)*$C$48</f>
        <v>925.25521620416271</v>
      </c>
      <c r="F7" s="293">
        <f>(AA52-AA173)*$C$48</f>
        <v>33.800935515608778</v>
      </c>
      <c r="G7" s="293">
        <f>(AH52-AH173)*$C$48</f>
        <v>130.54277452923685</v>
      </c>
      <c r="H7" s="332">
        <f t="shared" ref="H7:H9" si="0">SUM(C7:G7)</f>
        <v>1916.9424886219351</v>
      </c>
      <c r="M7" s="341" t="s">
        <v>251</v>
      </c>
      <c r="N7" s="341" t="s">
        <v>249</v>
      </c>
      <c r="O7" s="341" t="s">
        <v>215</v>
      </c>
      <c r="P7" s="341" t="s">
        <v>250</v>
      </c>
      <c r="R7" s="248"/>
    </row>
    <row r="8" spans="2:33">
      <c r="B8" s="304" t="s">
        <v>65</v>
      </c>
      <c r="C8" s="293">
        <f>((K82-K203)*$C$78)</f>
        <v>195.89983597847336</v>
      </c>
      <c r="D8" s="293">
        <f>(O203-O82)*$C$78</f>
        <v>733.53563815659049</v>
      </c>
      <c r="E8" s="293">
        <f>(S82-S203)*$C$78</f>
        <v>1087.7750944995043</v>
      </c>
      <c r="F8" s="293">
        <f>(AA82-AA203)*$C$78</f>
        <v>46.917034486130234</v>
      </c>
      <c r="G8" s="293">
        <f>(AH82-AH203)*$C$78</f>
        <v>153.47244350842416</v>
      </c>
      <c r="H8" s="332">
        <f t="shared" si="0"/>
        <v>2217.6000466291225</v>
      </c>
      <c r="M8" s="37">
        <v>1</v>
      </c>
      <c r="N8" s="37">
        <v>1</v>
      </c>
      <c r="O8" s="37">
        <f>N8*M8</f>
        <v>1</v>
      </c>
      <c r="R8" s="248"/>
    </row>
    <row r="9" spans="2:33">
      <c r="B9" s="304" t="s">
        <v>66</v>
      </c>
      <c r="C9" s="293">
        <f>((K112-K233)*$C$108)</f>
        <v>210.07131347478889</v>
      </c>
      <c r="D9" s="293">
        <f>(O233-O112)*$C$108</f>
        <v>1048.6197068384545</v>
      </c>
      <c r="E9" s="293">
        <f>(S112-S233)*$C$108</f>
        <v>1555.0197445986125</v>
      </c>
      <c r="F9" s="293">
        <f>(AA112-AA233)*$C$108</f>
        <v>150.06304410001263</v>
      </c>
      <c r="G9" s="293">
        <f>(AH112-AH233)*$C$108</f>
        <v>123.01299454905836</v>
      </c>
      <c r="H9" s="332">
        <f t="shared" si="0"/>
        <v>3086.7868035609272</v>
      </c>
      <c r="M9" s="37">
        <v>0.9</v>
      </c>
      <c r="N9" s="37">
        <v>1</v>
      </c>
      <c r="O9" s="37">
        <f>N9*M9</f>
        <v>0.9</v>
      </c>
      <c r="R9" s="248"/>
    </row>
    <row r="10" spans="2:33">
      <c r="C10" s="37"/>
      <c r="D10" s="37"/>
      <c r="E10" s="37"/>
      <c r="F10" s="37"/>
      <c r="H10" s="37"/>
    </row>
    <row r="11" spans="2:33">
      <c r="B11" s="256" t="s">
        <v>67</v>
      </c>
      <c r="C11" s="257" t="s">
        <v>59</v>
      </c>
      <c r="D11" s="257" t="s">
        <v>60</v>
      </c>
      <c r="E11" s="257" t="s">
        <v>61</v>
      </c>
      <c r="F11" s="257" t="s">
        <v>62</v>
      </c>
      <c r="G11" s="257" t="s">
        <v>244</v>
      </c>
      <c r="H11" s="258" t="s">
        <v>20</v>
      </c>
    </row>
    <row r="12" spans="2:33">
      <c r="B12" s="305" t="s">
        <v>63</v>
      </c>
      <c r="C12" s="306">
        <f>C6*Inputs!$B$12</f>
        <v>53.818269833064953</v>
      </c>
      <c r="D12" s="306">
        <f>AL143*$C$139</f>
        <v>171.42328323317068</v>
      </c>
      <c r="E12" s="306">
        <f>(AF22-AF143)*$C$18</f>
        <v>178.8125745961546</v>
      </c>
      <c r="F12" s="306">
        <f>(AG22-AG143)*$C$18</f>
        <v>17.795827139520117</v>
      </c>
      <c r="G12" s="306">
        <f>(AI22-AI143)*$C$18</f>
        <v>46.241783419161109</v>
      </c>
      <c r="H12" s="307">
        <f>SUM(C12:G12)</f>
        <v>468.09173822107141</v>
      </c>
    </row>
    <row r="13" spans="2:33">
      <c r="B13" s="305" t="s">
        <v>64</v>
      </c>
      <c r="C13" s="306">
        <f>C7*Inputs!$B$12</f>
        <v>48.81657189318917</v>
      </c>
      <c r="D13" s="306">
        <f>AL173*$C$169</f>
        <v>94.179115606759623</v>
      </c>
      <c r="E13" s="306">
        <f>(AF52-AF173)*$C$48</f>
        <v>140.54486594449949</v>
      </c>
      <c r="F13" s="306">
        <f>(AG52-AG173)*$C$48</f>
        <v>7.6823033624118038</v>
      </c>
      <c r="G13" s="306">
        <f>(AI52-AI173)*$C$48</f>
        <v>25.879826985943929</v>
      </c>
      <c r="H13" s="307">
        <f t="shared" ref="H13:H15" si="1">SUM(C13:G13)</f>
        <v>317.10268379280399</v>
      </c>
    </row>
    <row r="14" spans="2:33">
      <c r="B14" s="305" t="s">
        <v>65</v>
      </c>
      <c r="C14" s="306">
        <f>C8*Inputs!$B$12</f>
        <v>47.015960634833604</v>
      </c>
      <c r="D14" s="306">
        <f>AL203*$C$199</f>
        <v>107.59676552329363</v>
      </c>
      <c r="E14" s="306">
        <f>(AF82-AF203)*$C$78</f>
        <v>158.95861133994055</v>
      </c>
      <c r="F14" s="306">
        <f>(AG82-AG203)*$C$78</f>
        <v>9.7494329757431828</v>
      </c>
      <c r="G14" s="306">
        <f>(AI82-AI203)*$C$78</f>
        <v>27.485307723114854</v>
      </c>
      <c r="H14" s="307">
        <f t="shared" si="1"/>
        <v>350.8060781969258</v>
      </c>
    </row>
    <row r="15" spans="2:33">
      <c r="B15" s="308" t="s">
        <v>66</v>
      </c>
      <c r="C15" s="309">
        <f>C9*Inputs!$B$12</f>
        <v>50.417115233949332</v>
      </c>
      <c r="D15" s="309">
        <f>AL233*$C$229</f>
        <v>148.75599894358783</v>
      </c>
      <c r="E15" s="309">
        <f>(AF112-AF233)*$C$108</f>
        <v>217.08428935183346</v>
      </c>
      <c r="F15" s="309">
        <f>(AG112-AG233)*$C$108</f>
        <v>25.248924901647865</v>
      </c>
      <c r="G15" s="309">
        <f>(AI112-AI233)*$C$108</f>
        <v>19.652888958561981</v>
      </c>
      <c r="H15" s="307">
        <f t="shared" si="1"/>
        <v>461.15921738958048</v>
      </c>
    </row>
    <row r="16" spans="2:33">
      <c r="B16" s="304" t="s">
        <v>20</v>
      </c>
      <c r="C16" s="259">
        <f>SUM(C12:C15)</f>
        <v>200.06791759503704</v>
      </c>
      <c r="D16" s="259">
        <f>SUM(D12:D15)</f>
        <v>521.95516330681176</v>
      </c>
      <c r="E16" s="259">
        <f>SUM(E12:E15)</f>
        <v>695.4003412324281</v>
      </c>
      <c r="F16" s="259">
        <f>SUM(F12:F15)</f>
        <v>60.476488379322973</v>
      </c>
      <c r="G16" s="259">
        <f>SUM(G12:G15)</f>
        <v>119.25980708678188</v>
      </c>
      <c r="H16" s="307">
        <f>SUM(C16:G16)</f>
        <v>1597.1597176003816</v>
      </c>
    </row>
    <row r="18" spans="2:43" ht="30" customHeight="1">
      <c r="B18" s="144" t="s">
        <v>68</v>
      </c>
      <c r="C18" s="250">
        <f>90-D18</f>
        <v>90</v>
      </c>
      <c r="D18" s="117">
        <f>((7-Inputs!$B$13)*4*3)</f>
        <v>0</v>
      </c>
      <c r="E18" s="116"/>
      <c r="F18" s="116"/>
      <c r="G18" s="116"/>
      <c r="H18" s="116"/>
      <c r="K18" s="48"/>
      <c r="L18" s="48"/>
      <c r="M18" s="48"/>
      <c r="N18" s="48"/>
      <c r="O18" s="48"/>
      <c r="P18" s="48"/>
      <c r="S18" s="46"/>
    </row>
    <row r="19" spans="2:43" ht="18">
      <c r="B19" s="50" t="s">
        <v>69</v>
      </c>
      <c r="C19" s="117"/>
      <c r="D19" s="117"/>
      <c r="E19" s="117"/>
      <c r="F19" s="117"/>
      <c r="G19" s="117"/>
      <c r="H19" s="117"/>
      <c r="I19" s="349" t="s">
        <v>70</v>
      </c>
      <c r="J19" s="350"/>
      <c r="K19" s="351" t="s">
        <v>71</v>
      </c>
      <c r="L19" s="351"/>
      <c r="M19" s="351"/>
      <c r="N19" s="351"/>
      <c r="O19" s="351"/>
      <c r="P19" s="351"/>
      <c r="Q19" s="351"/>
      <c r="R19" s="351"/>
      <c r="S19" s="352" t="s">
        <v>72</v>
      </c>
      <c r="T19" s="352"/>
      <c r="U19" s="352"/>
      <c r="V19" s="352"/>
      <c r="W19" s="352"/>
      <c r="X19" s="353" t="s">
        <v>73</v>
      </c>
      <c r="Y19" s="354"/>
      <c r="Z19" s="354"/>
      <c r="AA19" s="355"/>
      <c r="AB19" s="356" t="s">
        <v>74</v>
      </c>
      <c r="AC19" s="357"/>
      <c r="AD19" s="357"/>
      <c r="AE19" s="358"/>
      <c r="AF19" s="359" t="s">
        <v>75</v>
      </c>
      <c r="AG19" s="360"/>
      <c r="AH19" s="342" t="s">
        <v>252</v>
      </c>
      <c r="AI19" s="342"/>
      <c r="AJ19" s="342"/>
      <c r="AK19" s="342"/>
    </row>
    <row r="20" spans="2:43" s="40" customFormat="1" ht="53.25" customHeight="1">
      <c r="B20" s="128" t="s">
        <v>76</v>
      </c>
      <c r="C20" s="129" t="s">
        <v>23</v>
      </c>
      <c r="D20" s="129" t="s">
        <v>24</v>
      </c>
      <c r="E20" s="129" t="s">
        <v>77</v>
      </c>
      <c r="F20" s="129" t="s">
        <v>78</v>
      </c>
      <c r="G20" s="129" t="s">
        <v>79</v>
      </c>
      <c r="H20" s="129" t="s">
        <v>80</v>
      </c>
      <c r="I20" s="39" t="s">
        <v>81</v>
      </c>
      <c r="J20" s="39" t="s">
        <v>82</v>
      </c>
      <c r="K20" s="39" t="s">
        <v>83</v>
      </c>
      <c r="L20" s="39" t="s">
        <v>84</v>
      </c>
      <c r="M20" s="39" t="s">
        <v>240</v>
      </c>
      <c r="N20" s="39" t="s">
        <v>248</v>
      </c>
      <c r="O20" s="39" t="s">
        <v>85</v>
      </c>
      <c r="P20" s="39" t="s">
        <v>86</v>
      </c>
      <c r="Q20" s="39" t="s">
        <v>87</v>
      </c>
      <c r="R20" s="39" t="s">
        <v>88</v>
      </c>
      <c r="S20" s="39" t="s">
        <v>89</v>
      </c>
      <c r="T20" s="39" t="s">
        <v>85</v>
      </c>
      <c r="U20" s="39" t="s">
        <v>86</v>
      </c>
      <c r="V20" s="39" t="s">
        <v>87</v>
      </c>
      <c r="W20" s="39" t="s">
        <v>88</v>
      </c>
      <c r="X20" s="39" t="s">
        <v>90</v>
      </c>
      <c r="Y20" s="39" t="s">
        <v>91</v>
      </c>
      <c r="Z20" s="39" t="s">
        <v>92</v>
      </c>
      <c r="AA20" s="39" t="s">
        <v>93</v>
      </c>
      <c r="AB20" s="39" t="s">
        <v>85</v>
      </c>
      <c r="AC20" s="39" t="s">
        <v>86</v>
      </c>
      <c r="AD20" s="39" t="s">
        <v>87</v>
      </c>
      <c r="AE20" s="39" t="s">
        <v>88</v>
      </c>
      <c r="AF20" s="39" t="s">
        <v>94</v>
      </c>
      <c r="AG20" s="39" t="s">
        <v>95</v>
      </c>
      <c r="AH20" s="39" t="s">
        <v>253</v>
      </c>
      <c r="AI20" s="39" t="s">
        <v>253</v>
      </c>
      <c r="AJ20" s="37"/>
      <c r="AK20" s="37"/>
      <c r="AL20" s="37"/>
      <c r="AM20" s="310" t="s">
        <v>96</v>
      </c>
      <c r="AN20" s="310" t="s">
        <v>97</v>
      </c>
      <c r="AO20" s="37"/>
      <c r="AQ20" s="136"/>
    </row>
    <row r="21" spans="2:43" s="40" customFormat="1">
      <c r="B21" s="38"/>
      <c r="C21" s="132" t="s">
        <v>98</v>
      </c>
      <c r="D21" s="130" t="s">
        <v>98</v>
      </c>
      <c r="E21" s="131"/>
      <c r="F21" s="131"/>
      <c r="G21" s="131"/>
      <c r="H21" s="131"/>
      <c r="I21" s="39" t="s">
        <v>99</v>
      </c>
      <c r="J21" s="39" t="s">
        <v>99</v>
      </c>
      <c r="K21" s="39" t="s">
        <v>100</v>
      </c>
      <c r="L21" s="39" t="s">
        <v>101</v>
      </c>
      <c r="M21" s="39" t="s">
        <v>101</v>
      </c>
      <c r="N21" s="39" t="s">
        <v>101</v>
      </c>
      <c r="O21" s="39" t="s">
        <v>100</v>
      </c>
      <c r="P21" s="39" t="s">
        <v>100</v>
      </c>
      <c r="Q21" s="39" t="s">
        <v>100</v>
      </c>
      <c r="R21" s="39" t="s">
        <v>100</v>
      </c>
      <c r="S21" s="39" t="s">
        <v>100</v>
      </c>
      <c r="T21" s="39" t="s">
        <v>100</v>
      </c>
      <c r="U21" s="39" t="s">
        <v>100</v>
      </c>
      <c r="V21" s="39" t="s">
        <v>100</v>
      </c>
      <c r="W21" s="39" t="s">
        <v>100</v>
      </c>
      <c r="X21" s="39" t="s">
        <v>102</v>
      </c>
      <c r="Y21" s="39" t="s">
        <v>98</v>
      </c>
      <c r="Z21" s="39" t="s">
        <v>98</v>
      </c>
      <c r="AA21" s="39" t="s">
        <v>100</v>
      </c>
      <c r="AB21" s="39" t="s">
        <v>100</v>
      </c>
      <c r="AC21" s="39" t="s">
        <v>100</v>
      </c>
      <c r="AD21" s="39" t="s">
        <v>100</v>
      </c>
      <c r="AE21" s="39" t="s">
        <v>100</v>
      </c>
      <c r="AF21" s="39" t="s">
        <v>67</v>
      </c>
      <c r="AG21" s="39" t="s">
        <v>67</v>
      </c>
      <c r="AH21" s="39" t="s">
        <v>100</v>
      </c>
      <c r="AI21" s="39" t="s">
        <v>67</v>
      </c>
      <c r="AJ21" s="37"/>
      <c r="AK21" s="37"/>
      <c r="AL21" s="37"/>
      <c r="AM21" s="112">
        <v>255</v>
      </c>
      <c r="AN21" s="311">
        <f>10/60</f>
        <v>0.16666666666666666</v>
      </c>
      <c r="AQ21" s="115"/>
    </row>
    <row r="22" spans="2:43">
      <c r="B22" s="41" t="s">
        <v>20</v>
      </c>
      <c r="C22" s="119"/>
      <c r="D22" s="119"/>
      <c r="E22" s="119"/>
      <c r="F22" s="119"/>
      <c r="G22" s="119"/>
      <c r="H22" s="119"/>
      <c r="I22" s="42">
        <f t="shared" ref="I22:J22" si="2">SUM(I23:I46)</f>
        <v>1.0000000000000002</v>
      </c>
      <c r="J22" s="42">
        <f t="shared" si="2"/>
        <v>1</v>
      </c>
      <c r="K22" s="43">
        <f>SUM(K23:K46)</f>
        <v>25.106666666666669</v>
      </c>
      <c r="L22" s="155">
        <f>SUM(L23:L46)/24</f>
        <v>1</v>
      </c>
      <c r="M22" s="340">
        <f>AVERAGE(M23:M46)</f>
        <v>0.72888888888888914</v>
      </c>
      <c r="N22" s="340">
        <f>AVERAGE(N23:N46)</f>
        <v>0.10166666666666672</v>
      </c>
      <c r="O22" s="43">
        <f>SUM(O23:O46)</f>
        <v>20.466494311793856</v>
      </c>
      <c r="P22" s="43">
        <f>SUM(P23:P46)</f>
        <v>17.557883141372098</v>
      </c>
      <c r="Q22" s="43">
        <f t="shared" ref="Q22:R22" si="3">SUM(Q23:Q46)</f>
        <v>12.917710786499283</v>
      </c>
      <c r="R22" s="43">
        <f t="shared" si="3"/>
        <v>7.5487835252945725</v>
      </c>
      <c r="S22" s="43">
        <f t="shared" ref="S22" si="4">SUM(S23:S46)</f>
        <v>13.543919870014317</v>
      </c>
      <c r="T22" s="43">
        <f>SUM(T23:T46)</f>
        <v>6.9225744417795401</v>
      </c>
      <c r="U22" s="43">
        <f>SUM(U23:U46)</f>
        <v>20.570683141372093</v>
      </c>
      <c r="V22" s="43">
        <f>SUM(V23:V46)</f>
        <v>2.3865909164849679</v>
      </c>
      <c r="W22" s="43">
        <f>SUM(W23:W46)</f>
        <v>4.5359835252945713</v>
      </c>
      <c r="X22" s="43">
        <f>AVERAGEIFS(X23:X46,V23:V46,"&gt;0")</f>
        <v>3.1364828039732955</v>
      </c>
      <c r="Y22" s="43">
        <f>AVERAGEIFS(Y23:Y46,V23:V46,"&gt;0")</f>
        <v>1.1918634655098521</v>
      </c>
      <c r="Z22" s="171">
        <f>AVERAGEIFS(Z23:Z46,V23:V46,"&gt;0")</f>
        <v>255.52519679884321</v>
      </c>
      <c r="AA22" s="43">
        <f t="shared" ref="AA22:AH22" si="5">SUM(AA23:AA46)</f>
        <v>1.0826849316422471</v>
      </c>
      <c r="AB22" s="43">
        <f t="shared" si="5"/>
        <v>5.8398895101372927</v>
      </c>
      <c r="AC22" s="43">
        <f t="shared" si="5"/>
        <v>20.570683141372093</v>
      </c>
      <c r="AD22" s="43">
        <f t="shared" si="5"/>
        <v>1.3039059848427208</v>
      </c>
      <c r="AE22" s="43">
        <f t="shared" si="5"/>
        <v>4.5359835252945713</v>
      </c>
      <c r="AF22" s="43">
        <f t="shared" si="5"/>
        <v>1.9868063844017179</v>
      </c>
      <c r="AG22" s="43">
        <f t="shared" si="5"/>
        <v>0.19773141266133465</v>
      </c>
      <c r="AH22" s="43">
        <f t="shared" si="5"/>
        <v>2.8270253269683949</v>
      </c>
      <c r="AI22" s="43">
        <f t="shared" ref="AI22" si="6">SUM(AI23:AI46)</f>
        <v>0.51379759354623455</v>
      </c>
      <c r="AM22" s="113">
        <v>260</v>
      </c>
      <c r="AN22" s="114">
        <f>40/60</f>
        <v>0.66666666666666663</v>
      </c>
    </row>
    <row r="23" spans="2:43" s="47" customFormat="1">
      <c r="B23" s="146">
        <v>0</v>
      </c>
      <c r="C23" s="123">
        <f>Profiles!E32</f>
        <v>255</v>
      </c>
      <c r="D23" s="133">
        <f>C23</f>
        <v>255</v>
      </c>
      <c r="E23" s="127">
        <v>0</v>
      </c>
      <c r="F23" s="127">
        <v>0</v>
      </c>
      <c r="G23" s="127">
        <v>0</v>
      </c>
      <c r="H23" s="127">
        <v>0</v>
      </c>
      <c r="I23" s="45">
        <f>Profiles!I6</f>
        <v>0.01</v>
      </c>
      <c r="J23" s="45">
        <f>Profiles!F32</f>
        <v>0</v>
      </c>
      <c r="K23" s="46">
        <f>Inputs!$B$9*Inputs!$A$41/$C$18*I23</f>
        <v>0.25106666666666672</v>
      </c>
      <c r="L23" s="46">
        <f>IF(D23=C23,1,0)</f>
        <v>1</v>
      </c>
      <c r="M23" s="114">
        <f>IF(Inputs!$B$26="Yes",VLOOKUP(D23,VWR[#All],2,FALSE),1)</f>
        <v>0.73333333333333339</v>
      </c>
      <c r="N23" s="114">
        <f>IF(Inputs!$B$27="Yes",VLOOKUP(D23,VVR[#All],2,FALSE),0)</f>
        <v>0.1</v>
      </c>
      <c r="O23" s="46">
        <f>(J23*Inputs!$B$18*Inputs!$B$41/$C$18)*(1-N23)*M23</f>
        <v>0</v>
      </c>
      <c r="P23" s="46">
        <f>IF(O23&gt;K23,0,K23-O23)</f>
        <v>0.25106666666666672</v>
      </c>
      <c r="Q23" s="46">
        <f>IF(O23&gt;K23,MIN((O23-K23),5),0)</f>
        <v>0</v>
      </c>
      <c r="R23" s="46">
        <f>IF(O23&gt;K23,K23,O23)</f>
        <v>0</v>
      </c>
      <c r="S23" s="103">
        <f>IF(D23&gt;255,O23,0)</f>
        <v>0</v>
      </c>
      <c r="T23" s="46">
        <f>O23-S23</f>
        <v>0</v>
      </c>
      <c r="U23" s="46">
        <f t="shared" ref="U23:U46" si="7">IF(T23&gt;K23,0,K23-T23)</f>
        <v>0.25106666666666672</v>
      </c>
      <c r="V23" s="46">
        <f>IF(T23&gt;K23,MIN((T23-K23),5),0)</f>
        <v>0</v>
      </c>
      <c r="W23" s="46">
        <f t="shared" ref="W23:W46" si="8">IF(T23&gt;K23,K23,T23)</f>
        <v>0</v>
      </c>
      <c r="X23" s="103">
        <f t="shared" ref="X23:X46" si="9">V23*1000/C23</f>
        <v>0</v>
      </c>
      <c r="Y23" s="46">
        <f>X23*Inputs!$B$8</f>
        <v>0</v>
      </c>
      <c r="Z23" s="170">
        <f>Y23+D23</f>
        <v>255</v>
      </c>
      <c r="AA23" s="104">
        <f>IF(AND(Z23&gt;=255,C23&lt;=Inputs!$B$7,V23&gt;0),(($AN$22-$AN$21)/($AM$22-$AM$21)*(Z23-$AM$21)+$AN$21)*T23,0)</f>
        <v>0</v>
      </c>
      <c r="AB23" s="104">
        <f t="shared" ref="AB23:AB46" si="10">T23-AA23</f>
        <v>0</v>
      </c>
      <c r="AC23" s="46">
        <f t="shared" ref="AC23:AC46" si="11">IF(AB23&gt;K23,0,K23-AB23)</f>
        <v>0.25106666666666672</v>
      </c>
      <c r="AD23" s="46">
        <f>IF(AB23&gt;K23,MIN((AB23-K23),5),0)</f>
        <v>0</v>
      </c>
      <c r="AE23" s="46">
        <f t="shared" ref="AE23:AE46" si="12">IF(AB23&gt;K23,K23,AB23)</f>
        <v>0</v>
      </c>
      <c r="AF23" s="103">
        <f>IF(S23&gt;0,(((R23/O23)*S23)*Inputs!$B$12)+((Q23/O23)*S23)*Inputs!$B$23,0)</f>
        <v>0</v>
      </c>
      <c r="AG23" s="103">
        <f>IF(AA23&gt;0,(((W23/T23)*AA23)*Inputs!$B$12)+((V23/T23)*AA23)*Inputs!$B$23,0)</f>
        <v>0</v>
      </c>
      <c r="AH23" s="331">
        <f>IF(AB23&gt;0,((J23*Inputs!$B$18*Inputs!$B$41/$C$18)-O23),0)</f>
        <v>0</v>
      </c>
      <c r="AI23" s="331">
        <f>IFERROR(((R23/O23)*AH23)*((Inputs!$B$12)+(((Q23/O23)*AH23)*Inputs!$B$23)),0)</f>
        <v>0</v>
      </c>
      <c r="AJ23" s="37"/>
      <c r="AK23" s="37"/>
      <c r="AL23" s="37"/>
    </row>
    <row r="24" spans="2:43" s="47" customFormat="1">
      <c r="B24" s="146">
        <v>4.1666666666666664E-2</v>
      </c>
      <c r="C24" s="124">
        <f>Profiles!E33</f>
        <v>255</v>
      </c>
      <c r="D24" s="133">
        <f t="shared" ref="D24:D46" si="13">C24</f>
        <v>255</v>
      </c>
      <c r="E24" s="127">
        <v>0</v>
      </c>
      <c r="F24" s="127">
        <v>0</v>
      </c>
      <c r="G24" s="127">
        <v>0</v>
      </c>
      <c r="H24" s="127">
        <v>0</v>
      </c>
      <c r="I24" s="45">
        <f>Profiles!I7</f>
        <v>0.01</v>
      </c>
      <c r="J24" s="45">
        <f>Profiles!F33</f>
        <v>0</v>
      </c>
      <c r="K24" s="46">
        <f>Inputs!$B$9*Inputs!$A$41/$C$18*I24</f>
        <v>0.25106666666666672</v>
      </c>
      <c r="L24" s="46">
        <f t="shared" ref="L24:L46" si="14">IF(D24=C24,1,0)</f>
        <v>1</v>
      </c>
      <c r="M24" s="114">
        <f>IF(Inputs!$B$26="Yes",VLOOKUP(D24,VWR[#All],2,FALSE),1)</f>
        <v>0.73333333333333339</v>
      </c>
      <c r="N24" s="114">
        <f>IF(Inputs!$B$27="Yes",VLOOKUP(D24,VVR[#All],2,FALSE),0)</f>
        <v>0.1</v>
      </c>
      <c r="O24" s="46">
        <f>(J24*Inputs!$B$18*Inputs!$B$41/$C$18)*M24</f>
        <v>0</v>
      </c>
      <c r="P24" s="46">
        <f t="shared" ref="P24:P46" si="15">IF(O24&gt;K24,0,K24-O24)</f>
        <v>0.25106666666666672</v>
      </c>
      <c r="Q24" s="46">
        <f t="shared" ref="Q24:Q46" si="16">IF(O24&gt;K24,MIN((O24-K24),5),0)</f>
        <v>0</v>
      </c>
      <c r="R24" s="46">
        <f t="shared" ref="R24:R46" si="17">IF(O24&gt;K24,K24,O24)</f>
        <v>0</v>
      </c>
      <c r="S24" s="103">
        <f t="shared" ref="S24:S46" si="18">IF(D24&gt;255,O24,0)</f>
        <v>0</v>
      </c>
      <c r="T24" s="46">
        <f t="shared" ref="T24:T46" si="19">O24-S24</f>
        <v>0</v>
      </c>
      <c r="U24" s="46">
        <f t="shared" si="7"/>
        <v>0.25106666666666672</v>
      </c>
      <c r="V24" s="46">
        <f t="shared" ref="V24:V46" si="20">IF(T24&gt;K24,MIN((T24-K24),5),0)</f>
        <v>0</v>
      </c>
      <c r="W24" s="46">
        <f t="shared" si="8"/>
        <v>0</v>
      </c>
      <c r="X24" s="103">
        <f t="shared" si="9"/>
        <v>0</v>
      </c>
      <c r="Y24" s="46">
        <f>X24*Inputs!$B$8</f>
        <v>0</v>
      </c>
      <c r="Z24" s="170">
        <f t="shared" ref="Z24:Z46" si="21">Y24+D24</f>
        <v>255</v>
      </c>
      <c r="AA24" s="104">
        <f>IF(AND(Z24&gt;=255,C24&lt;=Inputs!$B$7,V24&gt;0),(($AN$22-$AN$21)/($AM$22-$AM$21)*(Z24-$AM$21)+$AN$21)*O24,0)</f>
        <v>0</v>
      </c>
      <c r="AB24" s="104">
        <f t="shared" si="10"/>
        <v>0</v>
      </c>
      <c r="AC24" s="46">
        <f t="shared" si="11"/>
        <v>0.25106666666666672</v>
      </c>
      <c r="AD24" s="46">
        <f t="shared" ref="AD24:AD46" si="22">IF(AB24&gt;K24,MIN((AB24-K24),5),0)</f>
        <v>0</v>
      </c>
      <c r="AE24" s="46">
        <f t="shared" si="12"/>
        <v>0</v>
      </c>
      <c r="AF24" s="103">
        <f>IF(S24&gt;0,(((R24/O24)*S24)*Inputs!$B$12)+((Q24/O24)*S24)*Inputs!$B$23,0)</f>
        <v>0</v>
      </c>
      <c r="AG24" s="103">
        <f>IF(AA24&gt;0,(((W24/T24)*AA24)*Inputs!$B$12)+((V24/T24)*AA24)*Inputs!$B$23,0)</f>
        <v>0</v>
      </c>
      <c r="AH24" s="331">
        <f>IF(AB24&gt;0,((J24*Inputs!$B$18*Inputs!$B$41/$C$18)-O24),0)</f>
        <v>0</v>
      </c>
      <c r="AI24" s="331">
        <f>IFERROR(((R24/O24)*AH24)*((Inputs!$B$12)+(((Q24/O24)*AH24)*Inputs!$B$23)),0)</f>
        <v>0</v>
      </c>
      <c r="AJ24" s="37"/>
      <c r="AK24" s="37"/>
      <c r="AL24" s="37"/>
    </row>
    <row r="25" spans="2:43" s="47" customFormat="1">
      <c r="B25" s="146">
        <v>8.3333333333333329E-2</v>
      </c>
      <c r="C25" s="125">
        <f>Profiles!E34</f>
        <v>255</v>
      </c>
      <c r="D25" s="133">
        <f>C25</f>
        <v>255</v>
      </c>
      <c r="E25" s="127">
        <v>0</v>
      </c>
      <c r="F25" s="127">
        <v>0</v>
      </c>
      <c r="G25" s="127">
        <v>0</v>
      </c>
      <c r="H25" s="127">
        <v>0</v>
      </c>
      <c r="I25" s="45">
        <f>Profiles!I8</f>
        <v>0.01</v>
      </c>
      <c r="J25" s="45">
        <f>Profiles!F34</f>
        <v>0</v>
      </c>
      <c r="K25" s="46">
        <f>Inputs!$B$9*Inputs!$A$41/$C$18*I25</f>
        <v>0.25106666666666672</v>
      </c>
      <c r="L25" s="46">
        <f t="shared" si="14"/>
        <v>1</v>
      </c>
      <c r="M25" s="114">
        <f>IF(Inputs!$B$26="Yes",VLOOKUP(D25,VWR[#All],2,FALSE),1)</f>
        <v>0.73333333333333339</v>
      </c>
      <c r="N25" s="114">
        <f>IF(Inputs!$B$27="Yes",VLOOKUP(D25,VVR[#All],2,FALSE),0)</f>
        <v>0.1</v>
      </c>
      <c r="O25" s="46">
        <f>(J25*Inputs!$B$18*Inputs!$B$41/$C$18)*(1-N25)*M25</f>
        <v>0</v>
      </c>
      <c r="P25" s="46">
        <f t="shared" si="15"/>
        <v>0.25106666666666672</v>
      </c>
      <c r="Q25" s="46">
        <f t="shared" si="16"/>
        <v>0</v>
      </c>
      <c r="R25" s="46">
        <f t="shared" si="17"/>
        <v>0</v>
      </c>
      <c r="S25" s="103">
        <f t="shared" si="18"/>
        <v>0</v>
      </c>
      <c r="T25" s="46">
        <f t="shared" si="19"/>
        <v>0</v>
      </c>
      <c r="U25" s="46">
        <f t="shared" si="7"/>
        <v>0.25106666666666672</v>
      </c>
      <c r="V25" s="46">
        <f t="shared" si="20"/>
        <v>0</v>
      </c>
      <c r="W25" s="46">
        <f t="shared" si="8"/>
        <v>0</v>
      </c>
      <c r="X25" s="103">
        <f t="shared" si="9"/>
        <v>0</v>
      </c>
      <c r="Y25" s="46">
        <f>X25*Inputs!$B$8</f>
        <v>0</v>
      </c>
      <c r="Z25" s="170">
        <f t="shared" si="21"/>
        <v>255</v>
      </c>
      <c r="AA25" s="104">
        <f>IF(AND(Z25&gt;=255,C25&lt;=Inputs!$B$7,V25&gt;0),(($AN$22-$AN$21)/($AM$22-$AM$21)*(Z25-$AM$21)+$AN$21)*O25,0)</f>
        <v>0</v>
      </c>
      <c r="AB25" s="104">
        <f t="shared" si="10"/>
        <v>0</v>
      </c>
      <c r="AC25" s="46">
        <f t="shared" si="11"/>
        <v>0.25106666666666672</v>
      </c>
      <c r="AD25" s="46">
        <f t="shared" si="22"/>
        <v>0</v>
      </c>
      <c r="AE25" s="46">
        <f t="shared" si="12"/>
        <v>0</v>
      </c>
      <c r="AF25" s="103">
        <f>IF(S25&gt;0,(((R25/O25)*S25)*Inputs!$B$12)+((Q25/O25)*S25)*Inputs!$B$23,0)</f>
        <v>0</v>
      </c>
      <c r="AG25" s="103">
        <f>IF(AA25&gt;0,(((W25/T25)*AA25)*Inputs!$B$12)+((V25/T25)*AA25)*Inputs!$B$23,0)</f>
        <v>0</v>
      </c>
      <c r="AH25" s="331">
        <f>IF(AB25&gt;0,((J25*Inputs!$B$18*Inputs!$B$41/$C$18)-O25),0)</f>
        <v>0</v>
      </c>
      <c r="AI25" s="331">
        <f>IFERROR(((R25/O25)*AH25)*((Inputs!$B$12)+(((Q25/O25)*AH25)*Inputs!$B$23)),0)</f>
        <v>0</v>
      </c>
      <c r="AJ25" s="37"/>
      <c r="AK25" s="37"/>
      <c r="AL25" s="37"/>
    </row>
    <row r="26" spans="2:43" s="47" customFormat="1">
      <c r="B26" s="146">
        <v>0.125</v>
      </c>
      <c r="C26" s="125">
        <f>Profiles!E35</f>
        <v>255</v>
      </c>
      <c r="D26" s="133">
        <f t="shared" si="13"/>
        <v>255</v>
      </c>
      <c r="E26" s="127">
        <v>0</v>
      </c>
      <c r="F26" s="127">
        <v>0</v>
      </c>
      <c r="G26" s="127">
        <v>0</v>
      </c>
      <c r="H26" s="127">
        <v>0</v>
      </c>
      <c r="I26" s="45">
        <f>Profiles!I9</f>
        <v>0.01</v>
      </c>
      <c r="J26" s="45">
        <f>Profiles!F35</f>
        <v>0</v>
      </c>
      <c r="K26" s="46">
        <f>Inputs!$B$9*Inputs!$A$41/$C$18*I26</f>
        <v>0.25106666666666672</v>
      </c>
      <c r="L26" s="46">
        <f t="shared" si="14"/>
        <v>1</v>
      </c>
      <c r="M26" s="114">
        <f>IF(Inputs!$B$26="Yes",VLOOKUP(D26,VWR[#All],2,FALSE),1)</f>
        <v>0.73333333333333339</v>
      </c>
      <c r="N26" s="114">
        <f>IF(Inputs!$B$27="Yes",VLOOKUP(D26,VVR[#All],2,FALSE),0)</f>
        <v>0.1</v>
      </c>
      <c r="O26" s="46">
        <f>(J26*Inputs!$B$18*Inputs!$B$41/$C$18)*(1-N26)*M26</f>
        <v>0</v>
      </c>
      <c r="P26" s="46">
        <f t="shared" si="15"/>
        <v>0.25106666666666672</v>
      </c>
      <c r="Q26" s="46">
        <f t="shared" si="16"/>
        <v>0</v>
      </c>
      <c r="R26" s="46">
        <f t="shared" si="17"/>
        <v>0</v>
      </c>
      <c r="S26" s="103">
        <f t="shared" si="18"/>
        <v>0</v>
      </c>
      <c r="T26" s="46">
        <f t="shared" si="19"/>
        <v>0</v>
      </c>
      <c r="U26" s="46">
        <f t="shared" si="7"/>
        <v>0.25106666666666672</v>
      </c>
      <c r="V26" s="46">
        <f t="shared" si="20"/>
        <v>0</v>
      </c>
      <c r="W26" s="46">
        <f t="shared" si="8"/>
        <v>0</v>
      </c>
      <c r="X26" s="103">
        <f t="shared" si="9"/>
        <v>0</v>
      </c>
      <c r="Y26" s="46">
        <f>X26*Inputs!$B$8</f>
        <v>0</v>
      </c>
      <c r="Z26" s="170">
        <f t="shared" si="21"/>
        <v>255</v>
      </c>
      <c r="AA26" s="104">
        <f>IF(AND(Z26&gt;=255,C26&lt;=Inputs!$B$7,V26&gt;0),(($AN$22-$AN$21)/($AM$22-$AM$21)*(Z26-$AM$21)+$AN$21)*O26,0)</f>
        <v>0</v>
      </c>
      <c r="AB26" s="104">
        <f t="shared" si="10"/>
        <v>0</v>
      </c>
      <c r="AC26" s="46">
        <f t="shared" si="11"/>
        <v>0.25106666666666672</v>
      </c>
      <c r="AD26" s="46">
        <f t="shared" si="22"/>
        <v>0</v>
      </c>
      <c r="AE26" s="46">
        <f t="shared" si="12"/>
        <v>0</v>
      </c>
      <c r="AF26" s="103">
        <f>IF(S26&gt;0,(((R26/O26)*S26)*Inputs!$B$12)+((Q26/O26)*S26)*Inputs!$B$23,0)</f>
        <v>0</v>
      </c>
      <c r="AG26" s="103">
        <f>IF(AA26&gt;0,(((W26/T26)*AA26)*Inputs!$B$12)+((V26/T26)*AA26)*Inputs!$B$23,0)</f>
        <v>0</v>
      </c>
      <c r="AH26" s="331">
        <f>IF(AB26&gt;0,((J26*Inputs!$B$18*Inputs!$B$41/$C$18)-O26),0)</f>
        <v>0</v>
      </c>
      <c r="AI26" s="331">
        <f>IFERROR(((R26/O26)*AH26)*((Inputs!$B$12)+(((Q26/O26)*AH26)*Inputs!$B$23)),0)</f>
        <v>0</v>
      </c>
      <c r="AL26" s="37"/>
    </row>
    <row r="27" spans="2:43" s="47" customFormat="1">
      <c r="B27" s="146">
        <v>0.16666666666666699</v>
      </c>
      <c r="C27" s="125">
        <f>Profiles!E36</f>
        <v>255</v>
      </c>
      <c r="D27" s="133">
        <f t="shared" si="13"/>
        <v>255</v>
      </c>
      <c r="E27" s="127">
        <v>0</v>
      </c>
      <c r="F27" s="127">
        <v>0</v>
      </c>
      <c r="G27" s="127">
        <v>0</v>
      </c>
      <c r="H27" s="127">
        <v>0</v>
      </c>
      <c r="I27" s="45">
        <f>Profiles!I10</f>
        <v>0.01</v>
      </c>
      <c r="J27" s="45">
        <f>Profiles!F36</f>
        <v>0</v>
      </c>
      <c r="K27" s="46">
        <f>Inputs!$B$9*Inputs!$A$41/$C$18*I27</f>
        <v>0.25106666666666672</v>
      </c>
      <c r="L27" s="46">
        <f t="shared" si="14"/>
        <v>1</v>
      </c>
      <c r="M27" s="114">
        <f>IF(Inputs!$B$26="Yes",VLOOKUP(D27,VWR[#All],2,FALSE),1)</f>
        <v>0.73333333333333339</v>
      </c>
      <c r="N27" s="114">
        <f>IF(Inputs!$B$27="Yes",VLOOKUP(D27,VVR[#All],2,FALSE),0)</f>
        <v>0.1</v>
      </c>
      <c r="O27" s="46">
        <f>(J27*Inputs!$B$18*Inputs!$B$41/$C$18)*(1-N27)*M27</f>
        <v>0</v>
      </c>
      <c r="P27" s="46">
        <f t="shared" si="15"/>
        <v>0.25106666666666672</v>
      </c>
      <c r="Q27" s="46">
        <f t="shared" si="16"/>
        <v>0</v>
      </c>
      <c r="R27" s="46">
        <f t="shared" si="17"/>
        <v>0</v>
      </c>
      <c r="S27" s="103">
        <f t="shared" si="18"/>
        <v>0</v>
      </c>
      <c r="T27" s="46">
        <f t="shared" si="19"/>
        <v>0</v>
      </c>
      <c r="U27" s="46">
        <f t="shared" si="7"/>
        <v>0.25106666666666672</v>
      </c>
      <c r="V27" s="46">
        <f t="shared" si="20"/>
        <v>0</v>
      </c>
      <c r="W27" s="46">
        <f t="shared" si="8"/>
        <v>0</v>
      </c>
      <c r="X27" s="103">
        <f t="shared" si="9"/>
        <v>0</v>
      </c>
      <c r="Y27" s="46">
        <f>X27*Inputs!$B$8</f>
        <v>0</v>
      </c>
      <c r="Z27" s="170">
        <f t="shared" si="21"/>
        <v>255</v>
      </c>
      <c r="AA27" s="104">
        <f>IF(AND(Z27&gt;=255,C27&lt;=Inputs!$B$7,V27&gt;0),(($AN$22-$AN$21)/($AM$22-$AM$21)*(Z27-$AM$21)+$AN$21)*O27,0)</f>
        <v>0</v>
      </c>
      <c r="AB27" s="104">
        <f t="shared" si="10"/>
        <v>0</v>
      </c>
      <c r="AC27" s="46">
        <f t="shared" si="11"/>
        <v>0.25106666666666672</v>
      </c>
      <c r="AD27" s="46">
        <f t="shared" si="22"/>
        <v>0</v>
      </c>
      <c r="AE27" s="46">
        <f t="shared" si="12"/>
        <v>0</v>
      </c>
      <c r="AF27" s="103">
        <f>IF(S27&gt;0,(((R27/O27)*S27)*Inputs!$B$12)+((Q27/O27)*S27)*Inputs!$B$23,0)</f>
        <v>0</v>
      </c>
      <c r="AG27" s="103">
        <f>IF(AA27&gt;0,(((W27/T27)*AA27)*Inputs!$B$12)+((V27/T27)*AA27)*Inputs!$B$23,0)</f>
        <v>0</v>
      </c>
      <c r="AH27" s="331">
        <f>IF(AB27&gt;0,((J27*Inputs!$B$18*Inputs!$B$41/$C$18)-O27),0)</f>
        <v>0</v>
      </c>
      <c r="AI27" s="331">
        <f>IFERROR(((R27/O27)*AH27)*((Inputs!$B$12)+(((Q27/O27)*AH27)*Inputs!$B$23)),0)</f>
        <v>0</v>
      </c>
      <c r="AL27" s="37"/>
    </row>
    <row r="28" spans="2:43" s="47" customFormat="1">
      <c r="B28" s="146">
        <v>0.20833333333333301</v>
      </c>
      <c r="C28" s="125">
        <f>Profiles!E37</f>
        <v>253</v>
      </c>
      <c r="D28" s="133">
        <f t="shared" si="13"/>
        <v>253</v>
      </c>
      <c r="E28" s="127">
        <v>0</v>
      </c>
      <c r="F28" s="127">
        <v>0</v>
      </c>
      <c r="G28" s="127">
        <v>0</v>
      </c>
      <c r="H28" s="127">
        <v>0</v>
      </c>
      <c r="I28" s="45">
        <f>Profiles!I11</f>
        <v>0.01</v>
      </c>
      <c r="J28" s="45">
        <f>Profiles!F37</f>
        <v>0</v>
      </c>
      <c r="K28" s="46">
        <f>Inputs!$B$9*Inputs!$A$41/$C$18*I28</f>
        <v>0.25106666666666672</v>
      </c>
      <c r="L28" s="46">
        <f t="shared" si="14"/>
        <v>1</v>
      </c>
      <c r="M28" s="114">
        <f>IF(Inputs!$B$26="Yes",VLOOKUP(D28,VWR[#All],2,FALSE),1)</f>
        <v>0.84</v>
      </c>
      <c r="N28" s="114">
        <f>IF(Inputs!$B$27="Yes",VLOOKUP(D28,VVR[#All],2,FALSE),0)</f>
        <v>0.06</v>
      </c>
      <c r="O28" s="46">
        <f>(J28*Inputs!$B$18*Inputs!$B$41/$C$18)*(1-N28)*M28</f>
        <v>0</v>
      </c>
      <c r="P28" s="46">
        <f t="shared" si="15"/>
        <v>0.25106666666666672</v>
      </c>
      <c r="Q28" s="46">
        <f t="shared" si="16"/>
        <v>0</v>
      </c>
      <c r="R28" s="46">
        <f t="shared" si="17"/>
        <v>0</v>
      </c>
      <c r="S28" s="103">
        <f t="shared" si="18"/>
        <v>0</v>
      </c>
      <c r="T28" s="46">
        <f t="shared" si="19"/>
        <v>0</v>
      </c>
      <c r="U28" s="46">
        <f t="shared" si="7"/>
        <v>0.25106666666666672</v>
      </c>
      <c r="V28" s="46">
        <f t="shared" si="20"/>
        <v>0</v>
      </c>
      <c r="W28" s="46">
        <f t="shared" si="8"/>
        <v>0</v>
      </c>
      <c r="X28" s="103">
        <f t="shared" si="9"/>
        <v>0</v>
      </c>
      <c r="Y28" s="46">
        <f>X28*Inputs!$B$8</f>
        <v>0</v>
      </c>
      <c r="Z28" s="170">
        <f t="shared" si="21"/>
        <v>253</v>
      </c>
      <c r="AA28" s="104">
        <f>IF(AND(Z28&gt;=255,C28&lt;=Inputs!$B$7,V28&gt;0),(($AN$22-$AN$21)/($AM$22-$AM$21)*(Z28-$AM$21)+$AN$21)*O28,0)</f>
        <v>0</v>
      </c>
      <c r="AB28" s="104">
        <f t="shared" si="10"/>
        <v>0</v>
      </c>
      <c r="AC28" s="46">
        <f t="shared" si="11"/>
        <v>0.25106666666666672</v>
      </c>
      <c r="AD28" s="46">
        <f t="shared" si="22"/>
        <v>0</v>
      </c>
      <c r="AE28" s="46">
        <f t="shared" si="12"/>
        <v>0</v>
      </c>
      <c r="AF28" s="103">
        <f>IF(S28&gt;0,(((R28/O28)*S28)*Inputs!$B$12)+((Q28/O28)*S28)*Inputs!$B$23,0)</f>
        <v>0</v>
      </c>
      <c r="AG28" s="103">
        <f>IF(AA28&gt;0,(((W28/T28)*AA28)*Inputs!$B$12)+((V28/T28)*AA28)*Inputs!$B$23,0)</f>
        <v>0</v>
      </c>
      <c r="AH28" s="331">
        <f>IF(AB28&gt;0,((J28*Inputs!$B$18*Inputs!$B$41/$C$18)-O28),0)</f>
        <v>0</v>
      </c>
      <c r="AI28" s="331">
        <f>IFERROR(((R28/O28)*AH28)*((Inputs!$B$12)+(((Q28/O28)*AH28)*Inputs!$B$23)),0)</f>
        <v>0</v>
      </c>
      <c r="AL28" s="37"/>
    </row>
    <row r="29" spans="2:43" s="47" customFormat="1">
      <c r="B29" s="146">
        <v>0.25</v>
      </c>
      <c r="C29" s="125">
        <f>Profiles!E38</f>
        <v>254</v>
      </c>
      <c r="D29" s="133">
        <f t="shared" si="13"/>
        <v>254</v>
      </c>
      <c r="E29" s="127">
        <v>0</v>
      </c>
      <c r="F29" s="127">
        <v>0</v>
      </c>
      <c r="G29" s="127">
        <v>0</v>
      </c>
      <c r="H29" s="127">
        <v>0</v>
      </c>
      <c r="I29" s="45">
        <f>Profiles!I12</f>
        <v>0.1</v>
      </c>
      <c r="J29" s="45">
        <f>Profiles!F38</f>
        <v>0</v>
      </c>
      <c r="K29" s="46">
        <f>Inputs!$B$9*Inputs!$A$41/$C$18*I29</f>
        <v>2.5106666666666673</v>
      </c>
      <c r="L29" s="46">
        <f t="shared" si="14"/>
        <v>1</v>
      </c>
      <c r="M29" s="114">
        <f>IF(Inputs!$B$26="Yes",VLOOKUP(D29,VWR[#All],2,FALSE),1)</f>
        <v>0.78666666666666663</v>
      </c>
      <c r="N29" s="114">
        <f>IF(Inputs!$B$27="Yes",VLOOKUP(D29,VVR[#All],2,FALSE),0)</f>
        <v>0.08</v>
      </c>
      <c r="O29" s="46">
        <f>(J29*Inputs!$B$18*Inputs!$B$41/$C$18)*(1-N29)*M29</f>
        <v>0</v>
      </c>
      <c r="P29" s="46">
        <f t="shared" si="15"/>
        <v>2.5106666666666673</v>
      </c>
      <c r="Q29" s="46">
        <f t="shared" si="16"/>
        <v>0</v>
      </c>
      <c r="R29" s="46">
        <f t="shared" si="17"/>
        <v>0</v>
      </c>
      <c r="S29" s="103">
        <f t="shared" si="18"/>
        <v>0</v>
      </c>
      <c r="T29" s="46">
        <f t="shared" si="19"/>
        <v>0</v>
      </c>
      <c r="U29" s="46">
        <f t="shared" si="7"/>
        <v>2.5106666666666673</v>
      </c>
      <c r="V29" s="46">
        <f t="shared" si="20"/>
        <v>0</v>
      </c>
      <c r="W29" s="46">
        <f t="shared" si="8"/>
        <v>0</v>
      </c>
      <c r="X29" s="103">
        <f t="shared" si="9"/>
        <v>0</v>
      </c>
      <c r="Y29" s="46">
        <f>X29*Inputs!$B$8</f>
        <v>0</v>
      </c>
      <c r="Z29" s="170">
        <f t="shared" si="21"/>
        <v>254</v>
      </c>
      <c r="AA29" s="104">
        <f>IF(AND(Z29&gt;=255,C29&lt;=Inputs!$B$7,V29&gt;0),(($AN$22-$AN$21)/($AM$22-$AM$21)*(Z29-$AM$21)+$AN$21)*O29,0)</f>
        <v>0</v>
      </c>
      <c r="AB29" s="104">
        <f t="shared" si="10"/>
        <v>0</v>
      </c>
      <c r="AC29" s="46">
        <f t="shared" si="11"/>
        <v>2.5106666666666673</v>
      </c>
      <c r="AD29" s="46">
        <f t="shared" si="22"/>
        <v>0</v>
      </c>
      <c r="AE29" s="46">
        <f t="shared" si="12"/>
        <v>0</v>
      </c>
      <c r="AF29" s="103">
        <f>IF(S29&gt;0,(((R29/O29)*S29)*Inputs!$B$12)+((Q29/O29)*S29)*Inputs!$B$23,0)</f>
        <v>0</v>
      </c>
      <c r="AG29" s="103">
        <f>IF(AA29&gt;0,(((W29/T29)*AA29)*Inputs!$B$12)+((V29/T29)*AA29)*Inputs!$B$23,0)</f>
        <v>0</v>
      </c>
      <c r="AH29" s="331">
        <f>IF(AB29&gt;0,((J29*Inputs!$B$18*Inputs!$B$41/$C$18)-O29),0)</f>
        <v>0</v>
      </c>
      <c r="AI29" s="331">
        <f>IFERROR(((R29/O29)*AH29)*((Inputs!$B$12)+(((Q29/O29)*AH29)*Inputs!$B$23)),0)</f>
        <v>0</v>
      </c>
      <c r="AL29" s="37"/>
    </row>
    <row r="30" spans="2:43" s="47" customFormat="1">
      <c r="B30" s="146">
        <v>0.29166666666666702</v>
      </c>
      <c r="C30" s="125">
        <f>Profiles!E39</f>
        <v>255</v>
      </c>
      <c r="D30" s="133">
        <f t="shared" si="13"/>
        <v>255</v>
      </c>
      <c r="E30" s="127">
        <v>0</v>
      </c>
      <c r="F30" s="127">
        <v>0</v>
      </c>
      <c r="G30" s="127">
        <v>0</v>
      </c>
      <c r="H30" s="127">
        <v>0</v>
      </c>
      <c r="I30" s="45">
        <f>Profiles!I13</f>
        <v>0.12</v>
      </c>
      <c r="J30" s="45">
        <f>Profiles!F39</f>
        <v>0.02</v>
      </c>
      <c r="K30" s="46">
        <f>Inputs!$B$9*Inputs!$A$41/$C$18*I30</f>
        <v>3.0128000000000004</v>
      </c>
      <c r="L30" s="46">
        <f t="shared" si="14"/>
        <v>1</v>
      </c>
      <c r="M30" s="114">
        <f>IF(Inputs!$B$26="Yes",VLOOKUP(D30,VWR[#All],2,FALSE),1)</f>
        <v>0.73333333333333339</v>
      </c>
      <c r="N30" s="114">
        <f>IF(Inputs!$B$27="Yes",VLOOKUP(D30,VVR[#All],2,FALSE),0)</f>
        <v>0.1</v>
      </c>
      <c r="O30" s="46">
        <f>(J30*Inputs!$B$18*Inputs!$B$41/$C$18)*(1-N30)*M30</f>
        <v>0.44377488602576814</v>
      </c>
      <c r="P30" s="46">
        <f t="shared" si="15"/>
        <v>2.5690251139742322</v>
      </c>
      <c r="Q30" s="46">
        <f t="shared" si="16"/>
        <v>0</v>
      </c>
      <c r="R30" s="46">
        <f t="shared" si="17"/>
        <v>0.44377488602576814</v>
      </c>
      <c r="S30" s="103">
        <f t="shared" si="18"/>
        <v>0</v>
      </c>
      <c r="T30" s="46">
        <f t="shared" si="19"/>
        <v>0.44377488602576814</v>
      </c>
      <c r="U30" s="46">
        <f t="shared" si="7"/>
        <v>2.5690251139742322</v>
      </c>
      <c r="V30" s="46">
        <f t="shared" si="20"/>
        <v>0</v>
      </c>
      <c r="W30" s="46">
        <f t="shared" si="8"/>
        <v>0.44377488602576814</v>
      </c>
      <c r="X30" s="103">
        <f t="shared" si="9"/>
        <v>0</v>
      </c>
      <c r="Y30" s="46">
        <f>X30*Inputs!$B$8</f>
        <v>0</v>
      </c>
      <c r="Z30" s="170">
        <f t="shared" si="21"/>
        <v>255</v>
      </c>
      <c r="AA30" s="104">
        <f>IF(AND(Z30&gt;=255,C30&lt;=Inputs!$B$7,V30&gt;0),(($AN$22-$AN$21)/($AM$22-$AM$21)*(Z30-$AM$21)+$AN$21)*O30,0)</f>
        <v>0</v>
      </c>
      <c r="AB30" s="104">
        <f t="shared" si="10"/>
        <v>0.44377488602576814</v>
      </c>
      <c r="AC30" s="46">
        <f t="shared" si="11"/>
        <v>2.5690251139742322</v>
      </c>
      <c r="AD30" s="46">
        <f t="shared" si="22"/>
        <v>0</v>
      </c>
      <c r="AE30" s="46">
        <f t="shared" si="12"/>
        <v>0.44377488602576814</v>
      </c>
      <c r="AF30" s="103">
        <f>IF(S30&gt;0,(((R30/O30)*S30)*Inputs!$B$12)+((Q30/O30)*S30)*Inputs!$B$23,0)</f>
        <v>0</v>
      </c>
      <c r="AG30" s="103">
        <f>IF(AA30&gt;0,(((W30/T30)*AA30)*Inputs!$B$12)+((V30/T30)*AA30)*Inputs!$B$23,0)</f>
        <v>0</v>
      </c>
      <c r="AH30" s="331">
        <f>IF(AB30&gt;0,((J30*Inputs!$B$18*Inputs!$B$41/$C$18)-O30),0)</f>
        <v>0.22861130492236531</v>
      </c>
      <c r="AI30" s="331">
        <f>IFERROR(((R30/O30)*AH30)*((Inputs!$B$12)+(((Q30/O30)*AH30)*Inputs!$B$23)),0)</f>
        <v>5.4866713181367675E-2</v>
      </c>
      <c r="AL30" s="37"/>
    </row>
    <row r="31" spans="2:43" s="47" customFormat="1">
      <c r="B31" s="146">
        <v>0.33333333333333298</v>
      </c>
      <c r="C31" s="125">
        <f>Profiles!E40</f>
        <v>255</v>
      </c>
      <c r="D31" s="133">
        <f t="shared" si="13"/>
        <v>255</v>
      </c>
      <c r="E31" s="127">
        <v>0</v>
      </c>
      <c r="F31" s="127">
        <v>0</v>
      </c>
      <c r="G31" s="127">
        <v>0</v>
      </c>
      <c r="H31" s="127">
        <v>0</v>
      </c>
      <c r="I31" s="45">
        <f>Profiles!I14</f>
        <v>0.03</v>
      </c>
      <c r="J31" s="45">
        <f>Profiles!F40</f>
        <v>4.4999999999999998E-2</v>
      </c>
      <c r="K31" s="46">
        <f>Inputs!$B$9*Inputs!$A$41/$C$18*I31</f>
        <v>0.75320000000000009</v>
      </c>
      <c r="L31" s="46">
        <f t="shared" si="14"/>
        <v>1</v>
      </c>
      <c r="M31" s="114">
        <f>IF(Inputs!$B$26="Yes",VLOOKUP(D31,VWR[#All],2,FALSE),1)</f>
        <v>0.73333333333333339</v>
      </c>
      <c r="N31" s="114">
        <f>IF(Inputs!$B$27="Yes",VLOOKUP(D31,VVR[#All],2,FALSE),0)</f>
        <v>0.1</v>
      </c>
      <c r="O31" s="46">
        <f>(J31*Inputs!$B$18*Inputs!$B$41/$C$18)*(1-N31)*M31</f>
        <v>0.99849349355797812</v>
      </c>
      <c r="P31" s="46">
        <f t="shared" si="15"/>
        <v>0</v>
      </c>
      <c r="Q31" s="46">
        <f t="shared" si="16"/>
        <v>0.24529349355797803</v>
      </c>
      <c r="R31" s="46">
        <f t="shared" si="17"/>
        <v>0.75320000000000009</v>
      </c>
      <c r="S31" s="103">
        <f t="shared" si="18"/>
        <v>0</v>
      </c>
      <c r="T31" s="46">
        <f t="shared" si="19"/>
        <v>0.99849349355797812</v>
      </c>
      <c r="U31" s="46">
        <f t="shared" si="7"/>
        <v>0</v>
      </c>
      <c r="V31" s="46">
        <f t="shared" si="20"/>
        <v>0.24529349355797803</v>
      </c>
      <c r="W31" s="46">
        <f t="shared" si="8"/>
        <v>0.75320000000000009</v>
      </c>
      <c r="X31" s="103">
        <f t="shared" si="9"/>
        <v>0.96193526885481573</v>
      </c>
      <c r="Y31" s="46">
        <f>X31*Inputs!$B$8</f>
        <v>0.36553540216482999</v>
      </c>
      <c r="Z31" s="170">
        <f t="shared" si="21"/>
        <v>255.36553540216482</v>
      </c>
      <c r="AA31" s="104">
        <f>IF(AND(Z31&gt;=255,C31&lt;=Inputs!$B$7,V31&gt;0),(($AN$22-$AN$21)/($AM$22-$AM$21)*(Z31-$AM$21)+$AN$21)*O31,0)</f>
        <v>0.20291405433233053</v>
      </c>
      <c r="AB31" s="104">
        <f t="shared" si="10"/>
        <v>0.79557943922564756</v>
      </c>
      <c r="AC31" s="46">
        <f t="shared" si="11"/>
        <v>0</v>
      </c>
      <c r="AD31" s="46">
        <f>IF(AB31&gt;K31,MIN((AB31-K31),5),0)</f>
        <v>4.2379439225647464E-2</v>
      </c>
      <c r="AE31" s="46">
        <f t="shared" si="12"/>
        <v>0.75320000000000009</v>
      </c>
      <c r="AF31" s="103">
        <f>IF(S31&gt;0,(((R31/O31)*S31)*Inputs!$B$12)+((Q31/O31)*S31)*Inputs!$B$23,0)</f>
        <v>0</v>
      </c>
      <c r="AG31" s="103">
        <f>IF(AA31&gt;0,(((W31/T31)*AA31)*Inputs!$B$12)+((V31/T31)*AA31)*Inputs!$B$23,0)</f>
        <v>4.2717541698806205E-2</v>
      </c>
      <c r="AH31" s="331">
        <f>IF(AB31&gt;0,((J31*Inputs!$B$18*Inputs!$B$41/$C$18)-O31),0)</f>
        <v>0.51437543607532188</v>
      </c>
      <c r="AI31" s="331">
        <f>IFERROR(((R31/O31)*AH31)*((Inputs!$B$12)+(((Q31/O31)*AH31)*Inputs!$B$23)),0)</f>
        <v>9.9006568832124942E-2</v>
      </c>
    </row>
    <row r="32" spans="2:43" s="47" customFormat="1">
      <c r="B32" s="146">
        <v>0.375</v>
      </c>
      <c r="C32" s="125">
        <f>Profiles!E41</f>
        <v>253</v>
      </c>
      <c r="D32" s="133">
        <f t="shared" si="13"/>
        <v>253</v>
      </c>
      <c r="E32" s="127">
        <v>0</v>
      </c>
      <c r="F32" s="127">
        <v>0</v>
      </c>
      <c r="G32" s="127">
        <v>0</v>
      </c>
      <c r="H32" s="127">
        <v>0</v>
      </c>
      <c r="I32" s="45">
        <f>Profiles!I15</f>
        <v>0.02</v>
      </c>
      <c r="J32" s="45">
        <f>Profiles!F41</f>
        <v>0.08</v>
      </c>
      <c r="K32" s="46">
        <f>Inputs!$B$9*Inputs!$A$41/$C$18*I32</f>
        <v>0.50213333333333343</v>
      </c>
      <c r="L32" s="46">
        <f t="shared" si="14"/>
        <v>1</v>
      </c>
      <c r="M32" s="114">
        <f>IF(Inputs!$B$26="Yes",VLOOKUP(D32,VWR[#All],2,FALSE),1)</f>
        <v>0.84</v>
      </c>
      <c r="N32" s="114">
        <f>IF(Inputs!$B$27="Yes",VLOOKUP(D32,VVR[#All],2,FALSE),0)</f>
        <v>0.06</v>
      </c>
      <c r="O32" s="46">
        <f>(J32*Inputs!$B$18*Inputs!$B$41/$C$18)*(1-N32)*M32</f>
        <v>2.1236645454905845</v>
      </c>
      <c r="P32" s="46">
        <f t="shared" si="15"/>
        <v>0</v>
      </c>
      <c r="Q32" s="46">
        <f t="shared" si="16"/>
        <v>1.6215312121572509</v>
      </c>
      <c r="R32" s="46">
        <f t="shared" si="17"/>
        <v>0.50213333333333343</v>
      </c>
      <c r="S32" s="103">
        <f t="shared" si="18"/>
        <v>0</v>
      </c>
      <c r="T32" s="46">
        <f t="shared" si="19"/>
        <v>2.1236645454905845</v>
      </c>
      <c r="U32" s="46">
        <f t="shared" si="7"/>
        <v>0</v>
      </c>
      <c r="V32" s="46">
        <f t="shared" si="20"/>
        <v>1.6215312121572509</v>
      </c>
      <c r="W32" s="46">
        <f t="shared" si="8"/>
        <v>0.50213333333333343</v>
      </c>
      <c r="X32" s="103">
        <f t="shared" si="9"/>
        <v>6.4092142773013876</v>
      </c>
      <c r="Y32" s="46">
        <f>X32*Inputs!$B$8</f>
        <v>2.4355014253745275</v>
      </c>
      <c r="Z32" s="170">
        <f t="shared" si="21"/>
        <v>255.43550142537453</v>
      </c>
      <c r="AA32" s="104">
        <f>IF(AND(Z32&gt;=255,C32&lt;=Inputs!$B$7,V32&gt;0),(($AN$22-$AN$21)/($AM$22-$AM$21)*(Z32-$AM$21)+$AN$21)*O32,0)</f>
        <v>0.44642998457294669</v>
      </c>
      <c r="AB32" s="104">
        <f t="shared" si="10"/>
        <v>1.6772345609176378</v>
      </c>
      <c r="AC32" s="46">
        <f t="shared" si="11"/>
        <v>0</v>
      </c>
      <c r="AD32" s="46">
        <f t="shared" si="22"/>
        <v>1.1751012275843045</v>
      </c>
      <c r="AE32" s="46">
        <f t="shared" si="12"/>
        <v>0.50213333333333343</v>
      </c>
      <c r="AF32" s="103">
        <f>IF(S32&gt;0,(((R32/O32)*S32)*Inputs!$B$12)+((Q32/O32)*S32)*Inputs!$B$23,0)</f>
        <v>0</v>
      </c>
      <c r="AG32" s="103">
        <f>IF(AA32&gt;0,(((W32/T32)*AA32)*Inputs!$B$12)+((V32/T32)*AA32)*Inputs!$B$23,0)</f>
        <v>6.6238422204157002E-2</v>
      </c>
      <c r="AH32" s="331">
        <f>IF(AB32&gt;0,((J32*Inputs!$B$18*Inputs!$B$41/$C$18)-O32),0)</f>
        <v>0.56588021830194934</v>
      </c>
      <c r="AI32" s="331">
        <f>IFERROR(((R32/O32)*AH32)*((Inputs!$B$12)+(((Q32/O32)*AH32)*Inputs!$B$23)),0)</f>
        <v>3.9049610383906933E-2</v>
      </c>
    </row>
    <row r="33" spans="2:39" s="47" customFormat="1">
      <c r="B33" s="146">
        <v>0.41666666666666702</v>
      </c>
      <c r="C33" s="125">
        <f>Profiles!E42</f>
        <v>256</v>
      </c>
      <c r="D33" s="133">
        <f t="shared" si="13"/>
        <v>256</v>
      </c>
      <c r="E33" s="127">
        <v>0</v>
      </c>
      <c r="F33" s="127">
        <v>0</v>
      </c>
      <c r="G33" s="127">
        <v>0</v>
      </c>
      <c r="H33" s="127">
        <v>0</v>
      </c>
      <c r="I33" s="45">
        <f>Profiles!I16</f>
        <v>0.02</v>
      </c>
      <c r="J33" s="45">
        <f>Profiles!F42</f>
        <v>0.11</v>
      </c>
      <c r="K33" s="46">
        <f>Inputs!$B$9*Inputs!$A$41/$C$18*I33</f>
        <v>0.50213333333333343</v>
      </c>
      <c r="L33" s="46">
        <f t="shared" si="14"/>
        <v>1</v>
      </c>
      <c r="M33" s="114">
        <f>IF(Inputs!$B$26="Yes",VLOOKUP(D33,VWR[#All],2,FALSE),1)</f>
        <v>0.67999999999999994</v>
      </c>
      <c r="N33" s="114">
        <f>IF(Inputs!$B$27="Yes",VLOOKUP(D33,VVR[#All],2,FALSE),0)</f>
        <v>0.12</v>
      </c>
      <c r="O33" s="46">
        <f>(J33*Inputs!$B$18*Inputs!$B$41/$C$18)*(1-N33)*M33</f>
        <v>2.2129574316484968</v>
      </c>
      <c r="P33" s="46">
        <f t="shared" si="15"/>
        <v>0</v>
      </c>
      <c r="Q33" s="46">
        <f t="shared" si="16"/>
        <v>1.7108240983151632</v>
      </c>
      <c r="R33" s="46">
        <f t="shared" si="17"/>
        <v>0.50213333333333343</v>
      </c>
      <c r="S33" s="103">
        <f t="shared" si="18"/>
        <v>2.2129574316484968</v>
      </c>
      <c r="T33" s="46">
        <f t="shared" si="19"/>
        <v>0</v>
      </c>
      <c r="U33" s="46">
        <f t="shared" si="7"/>
        <v>0.50213333333333343</v>
      </c>
      <c r="V33" s="46">
        <f t="shared" si="20"/>
        <v>0</v>
      </c>
      <c r="W33" s="46">
        <f t="shared" si="8"/>
        <v>0</v>
      </c>
      <c r="X33" s="103">
        <f t="shared" si="9"/>
        <v>0</v>
      </c>
      <c r="Y33" s="46">
        <f>X33*Inputs!$B$8</f>
        <v>0</v>
      </c>
      <c r="Z33" s="170">
        <f t="shared" si="21"/>
        <v>256</v>
      </c>
      <c r="AA33" s="104">
        <f>IF(AND(Z33&gt;=255,C33&lt;=Inputs!$B$7,V33&gt;0),(($AN$22-$AN$21)/($AM$22-$AM$21)*(Z33-$AM$21)+$AN$21)*O33,0)</f>
        <v>0</v>
      </c>
      <c r="AB33" s="104">
        <f>T33-AA33</f>
        <v>0</v>
      </c>
      <c r="AC33" s="46">
        <f t="shared" si="11"/>
        <v>0.50213333333333343</v>
      </c>
      <c r="AD33" s="46">
        <f>IF(AB33&gt;K33,MIN((AB33-K33),5),0)</f>
        <v>0</v>
      </c>
      <c r="AE33" s="46">
        <f t="shared" si="12"/>
        <v>0</v>
      </c>
      <c r="AF33" s="103">
        <f>IF(S33&gt;0,(((R33/O33)*S33)*Inputs!$B$12)+((Q33/O33)*S33)*Inputs!$B$23,0)</f>
        <v>0.32581089179781958</v>
      </c>
      <c r="AG33" s="103">
        <f>IF(AA33&gt;0,(((W33/T33)*AA33)*Inputs!$B$12)+((V33/T33)*AA33)*Inputs!$B$23,0)</f>
        <v>0</v>
      </c>
      <c r="AH33" s="331">
        <f>IF(AB33&gt;0,((J33*Inputs!$B$18*Inputs!$B$41/$C$18)-O33),0)</f>
        <v>0</v>
      </c>
      <c r="AI33" s="331">
        <f>IFERROR(((R33/O33)*AH33)*((Inputs!$B$12)+(((Q33/O33)*AH33)*Inputs!$B$23)),0)</f>
        <v>0</v>
      </c>
    </row>
    <row r="34" spans="2:39" s="47" customFormat="1">
      <c r="B34" s="146">
        <v>0.45833333333333298</v>
      </c>
      <c r="C34" s="125">
        <f>Profiles!E43</f>
        <v>257</v>
      </c>
      <c r="D34" s="133">
        <f t="shared" si="13"/>
        <v>257</v>
      </c>
      <c r="E34" s="127">
        <v>0</v>
      </c>
      <c r="F34" s="127">
        <v>0</v>
      </c>
      <c r="G34" s="127">
        <v>0</v>
      </c>
      <c r="H34" s="127">
        <v>0</v>
      </c>
      <c r="I34" s="45">
        <f>Profiles!I17</f>
        <v>0.02</v>
      </c>
      <c r="J34" s="45">
        <f>Profiles!F43</f>
        <v>0.12</v>
      </c>
      <c r="K34" s="46">
        <f>Inputs!$B$9*Inputs!$A$41/$C$18*I34</f>
        <v>0.50213333333333343</v>
      </c>
      <c r="L34" s="46">
        <f t="shared" si="14"/>
        <v>1</v>
      </c>
      <c r="M34" s="114">
        <f>IF(Inputs!$B$26="Yes",VLOOKUP(D34,VWR[#All],2,FALSE),1)</f>
        <v>0.62666666666666671</v>
      </c>
      <c r="N34" s="114">
        <f>IF(Inputs!$B$27="Yes",VLOOKUP(D34,VVR[#All],2,FALSE),0)</f>
        <v>0.14000000000000001</v>
      </c>
      <c r="O34" s="46">
        <f>(J34*Inputs!$B$18*Inputs!$B$41/$C$18)*(1-N34)*M34</f>
        <v>2.1742279870498846</v>
      </c>
      <c r="P34" s="46">
        <f t="shared" si="15"/>
        <v>0</v>
      </c>
      <c r="Q34" s="46">
        <f t="shared" si="16"/>
        <v>1.6720946537165511</v>
      </c>
      <c r="R34" s="46">
        <f>IF(O34&gt;K34,K34,O34)</f>
        <v>0.50213333333333343</v>
      </c>
      <c r="S34" s="103">
        <f t="shared" si="18"/>
        <v>2.1742279870498846</v>
      </c>
      <c r="T34" s="46">
        <f t="shared" si="19"/>
        <v>0</v>
      </c>
      <c r="U34" s="46">
        <f t="shared" si="7"/>
        <v>0.50213333333333343</v>
      </c>
      <c r="V34" s="46">
        <f t="shared" si="20"/>
        <v>0</v>
      </c>
      <c r="W34" s="46">
        <f t="shared" si="8"/>
        <v>0</v>
      </c>
      <c r="X34" s="103">
        <f t="shared" si="9"/>
        <v>0</v>
      </c>
      <c r="Y34" s="46">
        <f>X34*Inputs!$B$8</f>
        <v>0</v>
      </c>
      <c r="Z34" s="170">
        <f t="shared" si="21"/>
        <v>257</v>
      </c>
      <c r="AA34" s="104">
        <f>IF(AND(Z34&gt;=255,C34&lt;=Inputs!$B$7,V34&gt;0),(($AN$22-$AN$21)/($AM$22-$AM$21)*(Z34-$AM$21)+$AN$21)*O34,0)</f>
        <v>0</v>
      </c>
      <c r="AB34" s="104">
        <f>T34-AA34</f>
        <v>0</v>
      </c>
      <c r="AC34" s="46">
        <f t="shared" si="11"/>
        <v>0.50213333333333343</v>
      </c>
      <c r="AD34" s="46">
        <f t="shared" si="22"/>
        <v>0</v>
      </c>
      <c r="AE34" s="46">
        <f t="shared" si="12"/>
        <v>0</v>
      </c>
      <c r="AF34" s="103">
        <f>IF(S34&gt;0,(((R34/O34)*S34)*Inputs!$B$12)+((Q34/O34)*S34)*Inputs!$B$23,0)</f>
        <v>0.32116335844598615</v>
      </c>
      <c r="AG34" s="103">
        <f>IF(AA34&gt;0,(((W34/T34)*AA34)*Inputs!$B$12)+((V34/T34)*AA34)*Inputs!$B$23,0)</f>
        <v>0</v>
      </c>
      <c r="AH34" s="331">
        <f>IF(AB34&gt;0,((J34*Inputs!$B$18*Inputs!$B$41/$C$18)-O34),0)</f>
        <v>0</v>
      </c>
      <c r="AI34" s="331">
        <f>IFERROR(((R34/O34)*AH34)*((Inputs!$B$12)+(((Q34/O34)*AH34)*Inputs!$B$23)),0)</f>
        <v>0</v>
      </c>
    </row>
    <row r="35" spans="2:39" s="47" customFormat="1">
      <c r="B35" s="146">
        <v>0.5</v>
      </c>
      <c r="C35" s="125">
        <f>Profiles!E44</f>
        <v>257</v>
      </c>
      <c r="D35" s="133">
        <f t="shared" si="13"/>
        <v>257</v>
      </c>
      <c r="E35" s="127">
        <v>0</v>
      </c>
      <c r="F35" s="127">
        <v>0</v>
      </c>
      <c r="G35" s="127">
        <v>0</v>
      </c>
      <c r="H35" s="127">
        <v>0</v>
      </c>
      <c r="I35" s="45">
        <f>Profiles!I18</f>
        <v>0.02</v>
      </c>
      <c r="J35" s="45">
        <f>Profiles!F44</f>
        <v>0.125</v>
      </c>
      <c r="K35" s="46">
        <f>Inputs!$B$9*Inputs!$A$41/$C$18*I35</f>
        <v>0.50213333333333343</v>
      </c>
      <c r="L35" s="46">
        <f t="shared" si="14"/>
        <v>1</v>
      </c>
      <c r="M35" s="114">
        <f>IF(Inputs!$B$26="Yes",VLOOKUP(D35,VWR[#All],2,FALSE),1)</f>
        <v>0.62666666666666671</v>
      </c>
      <c r="N35" s="114">
        <f>IF(Inputs!$B$27="Yes",VLOOKUP(D35,VVR[#All],2,FALSE),0)</f>
        <v>0.14000000000000001</v>
      </c>
      <c r="O35" s="46">
        <f>(J35*Inputs!$B$18*Inputs!$B$41/$C$18)*(1-N35)*M35</f>
        <v>2.2648208198436297</v>
      </c>
      <c r="P35" s="46">
        <f t="shared" si="15"/>
        <v>0</v>
      </c>
      <c r="Q35" s="46">
        <f t="shared" si="16"/>
        <v>1.7626874865102962</v>
      </c>
      <c r="R35" s="46">
        <f t="shared" si="17"/>
        <v>0.50213333333333343</v>
      </c>
      <c r="S35" s="103">
        <f t="shared" si="18"/>
        <v>2.2648208198436297</v>
      </c>
      <c r="T35" s="46">
        <f t="shared" si="19"/>
        <v>0</v>
      </c>
      <c r="U35" s="46">
        <f t="shared" si="7"/>
        <v>0.50213333333333343</v>
      </c>
      <c r="V35" s="46">
        <f t="shared" si="20"/>
        <v>0</v>
      </c>
      <c r="W35" s="46">
        <f t="shared" si="8"/>
        <v>0</v>
      </c>
      <c r="X35" s="103">
        <f t="shared" si="9"/>
        <v>0</v>
      </c>
      <c r="Y35" s="46">
        <f>X35*Inputs!$B$8</f>
        <v>0</v>
      </c>
      <c r="Z35" s="170">
        <f t="shared" si="21"/>
        <v>257</v>
      </c>
      <c r="AA35" s="104">
        <f>IF(AND(Z35&gt;=255,C35&lt;=Inputs!$B$7,V35&gt;0),(($AN$22-$AN$21)/($AM$22-$AM$21)*(Z35-$AM$21)+$AN$21)*O35,0)</f>
        <v>0</v>
      </c>
      <c r="AB35" s="104">
        <f t="shared" si="10"/>
        <v>0</v>
      </c>
      <c r="AC35" s="46">
        <f t="shared" si="11"/>
        <v>0.50213333333333343</v>
      </c>
      <c r="AD35" s="46">
        <f t="shared" si="22"/>
        <v>0</v>
      </c>
      <c r="AE35" s="46">
        <f t="shared" si="12"/>
        <v>0</v>
      </c>
      <c r="AF35" s="103">
        <f>IF(S35&gt;0,(((R35/O35)*S35)*Inputs!$B$12)+((Q35/O35)*S35)*Inputs!$B$23,0)</f>
        <v>0.33203449838123555</v>
      </c>
      <c r="AG35" s="103">
        <f>IF(AA35&gt;0,(((W35/T35)*AA35)*Inputs!$B$12)+((V35/T35)*AA35)*Inputs!$B$23,0)</f>
        <v>0</v>
      </c>
      <c r="AH35" s="331">
        <f>IF(AB35&gt;0,((J35*Inputs!$B$18*Inputs!$B$41/$C$18)-O35),0)</f>
        <v>0</v>
      </c>
      <c r="AI35" s="331">
        <f>IFERROR(((R35/O35)*AH35)*((Inputs!$B$12)+(((Q35/O35)*AH35)*Inputs!$B$23)),0)</f>
        <v>0</v>
      </c>
    </row>
    <row r="36" spans="2:39" s="47" customFormat="1">
      <c r="B36" s="146">
        <v>0.54166666666666696</v>
      </c>
      <c r="C36" s="125">
        <f>Profiles!E45</f>
        <v>257</v>
      </c>
      <c r="D36" s="133">
        <f t="shared" si="13"/>
        <v>257</v>
      </c>
      <c r="E36" s="127">
        <v>0</v>
      </c>
      <c r="F36" s="127">
        <v>0</v>
      </c>
      <c r="G36" s="127">
        <v>0</v>
      </c>
      <c r="H36" s="127">
        <v>0</v>
      </c>
      <c r="I36" s="45">
        <f>Profiles!I19</f>
        <v>0.02</v>
      </c>
      <c r="J36" s="45">
        <f>Profiles!F45</f>
        <v>0.125</v>
      </c>
      <c r="K36" s="46">
        <f>Inputs!$B$9*Inputs!$A$41/$C$18*I36</f>
        <v>0.50213333333333343</v>
      </c>
      <c r="L36" s="46">
        <f t="shared" si="14"/>
        <v>1</v>
      </c>
      <c r="M36" s="114">
        <f>IF(Inputs!$B$26="Yes",VLOOKUP(D36,VWR[#All],2,FALSE),1)</f>
        <v>0.62666666666666671</v>
      </c>
      <c r="N36" s="114">
        <f>IF(Inputs!$B$27="Yes",VLOOKUP(D36,VVR[#All],2,FALSE),0)</f>
        <v>0.14000000000000001</v>
      </c>
      <c r="O36" s="46">
        <f>(J36*Inputs!$B$18*Inputs!$B$41/$C$18)*(1-N36)*M36</f>
        <v>2.2648208198436297</v>
      </c>
      <c r="P36" s="46">
        <f t="shared" si="15"/>
        <v>0</v>
      </c>
      <c r="Q36" s="46">
        <f t="shared" si="16"/>
        <v>1.7626874865102962</v>
      </c>
      <c r="R36" s="46">
        <f t="shared" si="17"/>
        <v>0.50213333333333343</v>
      </c>
      <c r="S36" s="103">
        <f t="shared" si="18"/>
        <v>2.2648208198436297</v>
      </c>
      <c r="T36" s="46">
        <f t="shared" si="19"/>
        <v>0</v>
      </c>
      <c r="U36" s="46">
        <f t="shared" si="7"/>
        <v>0.50213333333333343</v>
      </c>
      <c r="V36" s="46">
        <f t="shared" si="20"/>
        <v>0</v>
      </c>
      <c r="W36" s="46">
        <f t="shared" si="8"/>
        <v>0</v>
      </c>
      <c r="X36" s="103">
        <f t="shared" si="9"/>
        <v>0</v>
      </c>
      <c r="Y36" s="46">
        <f>X36*Inputs!$B$8</f>
        <v>0</v>
      </c>
      <c r="Z36" s="170">
        <f t="shared" si="21"/>
        <v>257</v>
      </c>
      <c r="AA36" s="104">
        <f>IF(AND(Z36&gt;=255,C36&lt;=Inputs!$B$7,V36&gt;0),(($AN$22-$AN$21)/($AM$22-$AM$21)*(Z36-$AM$21)+$AN$21)*O36,0)</f>
        <v>0</v>
      </c>
      <c r="AB36" s="104">
        <f t="shared" si="10"/>
        <v>0</v>
      </c>
      <c r="AC36" s="46">
        <f t="shared" si="11"/>
        <v>0.50213333333333343</v>
      </c>
      <c r="AD36" s="46">
        <f t="shared" si="22"/>
        <v>0</v>
      </c>
      <c r="AE36" s="46">
        <f t="shared" si="12"/>
        <v>0</v>
      </c>
      <c r="AF36" s="103">
        <f>IF(S36&gt;0,(((R36/O36)*S36)*Inputs!$B$12)+((Q36/O36)*S36)*Inputs!$B$23,0)</f>
        <v>0.33203449838123555</v>
      </c>
      <c r="AG36" s="103">
        <f>IF(AA36&gt;0,(((W36/T36)*AA36)*Inputs!$B$12)+((V36/T36)*AA36)*Inputs!$B$23,0)</f>
        <v>0</v>
      </c>
      <c r="AH36" s="331">
        <f>IF(AB36&gt;0,((J36*Inputs!$B$18*Inputs!$B$41/$C$18)-O36),0)</f>
        <v>0</v>
      </c>
      <c r="AI36" s="331">
        <f>IFERROR(((R36/O36)*AH36)*((Inputs!$B$12)+(((Q36/O36)*AH36)*Inputs!$B$23)),0)</f>
        <v>0</v>
      </c>
    </row>
    <row r="37" spans="2:39" s="47" customFormat="1">
      <c r="B37" s="146">
        <v>0.58333333333333304</v>
      </c>
      <c r="C37" s="125">
        <f>Profiles!E46</f>
        <v>256</v>
      </c>
      <c r="D37" s="133">
        <f t="shared" si="13"/>
        <v>256</v>
      </c>
      <c r="E37" s="127">
        <v>0</v>
      </c>
      <c r="F37" s="127">
        <v>0</v>
      </c>
      <c r="G37" s="127">
        <v>0</v>
      </c>
      <c r="H37" s="127">
        <v>0</v>
      </c>
      <c r="I37" s="45">
        <f>Profiles!I20</f>
        <v>0.02</v>
      </c>
      <c r="J37" s="45">
        <f>Profiles!F46</f>
        <v>0.12</v>
      </c>
      <c r="K37" s="46">
        <f>Inputs!$B$9*Inputs!$A$41/$C$18*I37</f>
        <v>0.50213333333333343</v>
      </c>
      <c r="L37" s="46">
        <f t="shared" si="14"/>
        <v>1</v>
      </c>
      <c r="M37" s="114">
        <f>IF(Inputs!$B$26="Yes",VLOOKUP(D37,VWR[#All],2,FALSE),1)</f>
        <v>0.67999999999999994</v>
      </c>
      <c r="N37" s="114">
        <f>IF(Inputs!$B$27="Yes",VLOOKUP(D37,VVR[#All],2,FALSE),0)</f>
        <v>0.12</v>
      </c>
      <c r="O37" s="46">
        <f>(J37*Inputs!$B$18*Inputs!$B$41/$C$18)*(1-N37)*M37</f>
        <v>2.4141353799801784</v>
      </c>
      <c r="P37" s="46">
        <f t="shared" si="15"/>
        <v>0</v>
      </c>
      <c r="Q37" s="46">
        <f t="shared" si="16"/>
        <v>1.9120020466468448</v>
      </c>
      <c r="R37" s="46">
        <f t="shared" si="17"/>
        <v>0.50213333333333343</v>
      </c>
      <c r="S37" s="103">
        <f t="shared" si="18"/>
        <v>2.4141353799801784</v>
      </c>
      <c r="T37" s="46">
        <f t="shared" si="19"/>
        <v>0</v>
      </c>
      <c r="U37" s="46">
        <f t="shared" si="7"/>
        <v>0.50213333333333343</v>
      </c>
      <c r="V37" s="46">
        <f t="shared" si="20"/>
        <v>0</v>
      </c>
      <c r="W37" s="46">
        <f t="shared" si="8"/>
        <v>0</v>
      </c>
      <c r="X37" s="103">
        <f t="shared" si="9"/>
        <v>0</v>
      </c>
      <c r="Y37" s="46">
        <f>X37*Inputs!$B$8</f>
        <v>0</v>
      </c>
      <c r="Z37" s="170">
        <f t="shared" si="21"/>
        <v>256</v>
      </c>
      <c r="AA37" s="104">
        <f>IF(AND(Z37&gt;=255,C37&lt;=Inputs!$B$7,V37&gt;0),(($AN$22-$AN$21)/($AM$22-$AM$21)*(Z37-$AM$21)+$AN$21)*O37,0)</f>
        <v>0</v>
      </c>
      <c r="AB37" s="104">
        <f t="shared" si="10"/>
        <v>0</v>
      </c>
      <c r="AC37" s="46">
        <f t="shared" si="11"/>
        <v>0.50213333333333343</v>
      </c>
      <c r="AD37" s="46">
        <f t="shared" si="22"/>
        <v>0</v>
      </c>
      <c r="AE37" s="46">
        <f t="shared" si="12"/>
        <v>0</v>
      </c>
      <c r="AF37" s="103">
        <f>IF(S37&gt;0,(((R37/O37)*S37)*Inputs!$B$12)+((Q37/O37)*S37)*Inputs!$B$23,0)</f>
        <v>0.34995224559762139</v>
      </c>
      <c r="AG37" s="103">
        <f>IF(AA37&gt;0,(((W37/T37)*AA37)*Inputs!$B$12)+((V37/T37)*AA37)*Inputs!$B$23,0)</f>
        <v>0</v>
      </c>
      <c r="AH37" s="331">
        <f>IF(AB37&gt;0,((J37*Inputs!$B$18*Inputs!$B$41/$C$18)-O37),0)</f>
        <v>0</v>
      </c>
      <c r="AI37" s="331">
        <f>IFERROR(((R37/O37)*AH37)*((Inputs!$B$12)+(((Q37/O37)*AH37)*Inputs!$B$23)),0)</f>
        <v>0</v>
      </c>
    </row>
    <row r="38" spans="2:39" s="47" customFormat="1">
      <c r="B38" s="146">
        <v>0.625</v>
      </c>
      <c r="C38" s="125">
        <f>Profiles!E47</f>
        <v>256</v>
      </c>
      <c r="D38" s="133">
        <f t="shared" si="13"/>
        <v>256</v>
      </c>
      <c r="E38" s="127">
        <v>0</v>
      </c>
      <c r="F38" s="127">
        <v>0</v>
      </c>
      <c r="G38" s="127">
        <v>0</v>
      </c>
      <c r="H38" s="127">
        <v>0</v>
      </c>
      <c r="I38" s="45">
        <f>Profiles!I21</f>
        <v>0.02</v>
      </c>
      <c r="J38" s="45">
        <f>Profiles!F47</f>
        <v>0.11</v>
      </c>
      <c r="K38" s="46">
        <f>Inputs!$B$9*Inputs!$A$41/$C$18*I38</f>
        <v>0.50213333333333343</v>
      </c>
      <c r="L38" s="46">
        <f t="shared" si="14"/>
        <v>1</v>
      </c>
      <c r="M38" s="114">
        <f>IF(Inputs!$B$26="Yes",VLOOKUP(D38,VWR[#All],2,FALSE),1)</f>
        <v>0.67999999999999994</v>
      </c>
      <c r="N38" s="114">
        <f>IF(Inputs!$B$27="Yes",VLOOKUP(D38,VVR[#All],2,FALSE),0)</f>
        <v>0.12</v>
      </c>
      <c r="O38" s="46">
        <f>(J38*Inputs!$B$18*Inputs!$B$41/$C$18)*(1-N38)*M38</f>
        <v>2.2129574316484968</v>
      </c>
      <c r="P38" s="46">
        <f t="shared" si="15"/>
        <v>0</v>
      </c>
      <c r="Q38" s="46">
        <f t="shared" si="16"/>
        <v>1.7108240983151632</v>
      </c>
      <c r="R38" s="46">
        <f t="shared" si="17"/>
        <v>0.50213333333333343</v>
      </c>
      <c r="S38" s="103">
        <f t="shared" si="18"/>
        <v>2.2129574316484968</v>
      </c>
      <c r="T38" s="46">
        <f t="shared" si="19"/>
        <v>0</v>
      </c>
      <c r="U38" s="46">
        <f t="shared" si="7"/>
        <v>0.50213333333333343</v>
      </c>
      <c r="V38" s="46">
        <f t="shared" si="20"/>
        <v>0</v>
      </c>
      <c r="W38" s="46">
        <f t="shared" si="8"/>
        <v>0</v>
      </c>
      <c r="X38" s="103">
        <f t="shared" si="9"/>
        <v>0</v>
      </c>
      <c r="Y38" s="46">
        <f>X38*Inputs!$B$8</f>
        <v>0</v>
      </c>
      <c r="Z38" s="170">
        <f t="shared" si="21"/>
        <v>256</v>
      </c>
      <c r="AA38" s="104">
        <f>IF(AND(Z38&gt;=255,C38&lt;=Inputs!$B$7,V38&gt;0),(($AN$22-$AN$21)/($AM$22-$AM$21)*(Z38-$AM$21)+$AN$21)*O38,0)</f>
        <v>0</v>
      </c>
      <c r="AB38" s="104">
        <f t="shared" si="10"/>
        <v>0</v>
      </c>
      <c r="AC38" s="46">
        <f t="shared" si="11"/>
        <v>0.50213333333333343</v>
      </c>
      <c r="AD38" s="46">
        <f t="shared" si="22"/>
        <v>0</v>
      </c>
      <c r="AE38" s="46">
        <f t="shared" si="12"/>
        <v>0</v>
      </c>
      <c r="AF38" s="103">
        <f>IF(S38&gt;0,(((R38/O38)*S38)*Inputs!$B$12)+((Q38/O38)*S38)*Inputs!$B$23,0)</f>
        <v>0.32581089179781958</v>
      </c>
      <c r="AG38" s="103">
        <f>IF(AA38&gt;0,(((W38/T38)*AA38)*Inputs!$B$12)+((V38/T38)*AA38)*Inputs!$B$23,0)</f>
        <v>0</v>
      </c>
      <c r="AH38" s="331">
        <f>IF(AB38&gt;0,((J38*Inputs!$B$18*Inputs!$B$41/$C$18)-O38),0)</f>
        <v>0</v>
      </c>
      <c r="AI38" s="331">
        <f>IFERROR(((R38/O38)*AH38)*((Inputs!$B$12)+(((Q38/O38)*AH38)*Inputs!$B$23)),0)</f>
        <v>0</v>
      </c>
    </row>
    <row r="39" spans="2:39" s="47" customFormat="1">
      <c r="B39" s="146">
        <v>0.66666666666666696</v>
      </c>
      <c r="C39" s="125">
        <f>Profiles!E48</f>
        <v>255</v>
      </c>
      <c r="D39" s="133">
        <f t="shared" si="13"/>
        <v>255</v>
      </c>
      <c r="E39" s="127">
        <v>0</v>
      </c>
      <c r="F39" s="127">
        <v>0</v>
      </c>
      <c r="G39" s="127">
        <v>0</v>
      </c>
      <c r="H39" s="127">
        <v>0</v>
      </c>
      <c r="I39" s="45">
        <f>Profiles!I22</f>
        <v>0.05</v>
      </c>
      <c r="J39" s="45">
        <f>Profiles!F48</f>
        <v>0.08</v>
      </c>
      <c r="K39" s="46">
        <f>Inputs!$B$9*Inputs!$A$41/$C$18*I39</f>
        <v>1.2553333333333336</v>
      </c>
      <c r="L39" s="46">
        <f t="shared" si="14"/>
        <v>1</v>
      </c>
      <c r="M39" s="114">
        <f>IF(Inputs!$B$26="Yes",VLOOKUP(D39,VWR[#All],2,FALSE),1)</f>
        <v>0.73333333333333339</v>
      </c>
      <c r="N39" s="114">
        <f>IF(Inputs!$B$27="Yes",VLOOKUP(D39,VVR[#All],2,FALSE),0)</f>
        <v>0.1</v>
      </c>
      <c r="O39" s="46">
        <f>(J39*Inputs!$B$18*Inputs!$B$41/$C$18)*(1-N39)*M39</f>
        <v>1.7750995441030726</v>
      </c>
      <c r="P39" s="46">
        <f t="shared" si="15"/>
        <v>0</v>
      </c>
      <c r="Q39" s="46">
        <f t="shared" si="16"/>
        <v>0.51976621076973895</v>
      </c>
      <c r="R39" s="46">
        <f t="shared" si="17"/>
        <v>1.2553333333333336</v>
      </c>
      <c r="S39" s="103">
        <f t="shared" si="18"/>
        <v>0</v>
      </c>
      <c r="T39" s="46">
        <f t="shared" si="19"/>
        <v>1.7750995441030726</v>
      </c>
      <c r="U39" s="46">
        <f t="shared" si="7"/>
        <v>0</v>
      </c>
      <c r="V39" s="46">
        <f t="shared" si="20"/>
        <v>0.51976621076973895</v>
      </c>
      <c r="W39" s="46">
        <f t="shared" si="8"/>
        <v>1.2553333333333336</v>
      </c>
      <c r="X39" s="103">
        <f t="shared" si="9"/>
        <v>2.0382988657636818</v>
      </c>
      <c r="Y39" s="46">
        <f>X39*Inputs!$B$8</f>
        <v>0.77455356899019911</v>
      </c>
      <c r="Z39" s="170">
        <f t="shared" si="21"/>
        <v>255.7745535689902</v>
      </c>
      <c r="AA39" s="104">
        <f>IF(AND(Z39&gt;=255,C39&lt;=Inputs!$B$7,V39&gt;0),(($AN$22-$AN$21)/($AM$22-$AM$21)*(Z39-$AM$21)+$AN$21)*O39,0)</f>
        <v>0.43334089273696991</v>
      </c>
      <c r="AB39" s="104">
        <f t="shared" si="10"/>
        <v>1.3417586513661026</v>
      </c>
      <c r="AC39" s="46">
        <f t="shared" si="11"/>
        <v>0</v>
      </c>
      <c r="AD39" s="46">
        <f t="shared" si="22"/>
        <v>8.6425318032768983E-2</v>
      </c>
      <c r="AE39" s="46">
        <f t="shared" si="12"/>
        <v>1.2553333333333336</v>
      </c>
      <c r="AF39" s="103">
        <f>IF(S39&gt;0,(((R39/O39)*S39)*Inputs!$B$12)+((Q39/O39)*S39)*Inputs!$B$23,0)</f>
        <v>0</v>
      </c>
      <c r="AG39" s="103">
        <f>IF(AA39&gt;0,(((W39/T39)*AA39)*Inputs!$B$12)+((V39/T39)*AA39)*Inputs!$B$23,0)</f>
        <v>8.8775448758371428E-2</v>
      </c>
      <c r="AH39" s="331">
        <f>IF(AB39&gt;0,((J39*Inputs!$B$18*Inputs!$B$41/$C$18)-O39),0)</f>
        <v>0.91444521968946124</v>
      </c>
      <c r="AI39" s="331">
        <f>IFERROR(((R39/O39)*AH39)*((Inputs!$B$12)+(((Q39/O39)*AH39)*Inputs!$B$23)),0)</f>
        <v>0.17598354563380356</v>
      </c>
    </row>
    <row r="40" spans="2:39" s="47" customFormat="1">
      <c r="B40" s="146">
        <v>0.70833333333333304</v>
      </c>
      <c r="C40" s="125">
        <f>Profiles!E49</f>
        <v>254</v>
      </c>
      <c r="D40" s="133">
        <f t="shared" si="13"/>
        <v>254</v>
      </c>
      <c r="E40" s="127">
        <v>0</v>
      </c>
      <c r="F40" s="127">
        <v>0</v>
      </c>
      <c r="G40" s="127">
        <v>0</v>
      </c>
      <c r="H40" s="127">
        <v>0</v>
      </c>
      <c r="I40" s="45">
        <f>Profiles!I23</f>
        <v>0.08</v>
      </c>
      <c r="J40" s="45">
        <f>Profiles!F49</f>
        <v>4.4999999999999998E-2</v>
      </c>
      <c r="K40" s="46">
        <f>Inputs!$B$9*Inputs!$A$41/$C$18*I40</f>
        <v>2.0085333333333337</v>
      </c>
      <c r="L40" s="46">
        <f t="shared" si="14"/>
        <v>1</v>
      </c>
      <c r="M40" s="114">
        <f>IF(Inputs!$B$26="Yes",VLOOKUP(D40,VWR[#All],2,FALSE),1)</f>
        <v>0.78666666666666663</v>
      </c>
      <c r="N40" s="114">
        <f>IF(Inputs!$B$27="Yes",VLOOKUP(D40,VVR[#All],2,FALSE),0)</f>
        <v>0.08</v>
      </c>
      <c r="O40" s="46">
        <f>(J40*Inputs!$B$18*Inputs!$B$41/$C$18)*(1-N40)*M40</f>
        <v>1.0949136733399403</v>
      </c>
      <c r="P40" s="46">
        <f t="shared" si="15"/>
        <v>0.91361965999339345</v>
      </c>
      <c r="Q40" s="46">
        <f t="shared" si="16"/>
        <v>0</v>
      </c>
      <c r="R40" s="46">
        <f t="shared" si="17"/>
        <v>1.0949136733399403</v>
      </c>
      <c r="S40" s="103">
        <f t="shared" si="18"/>
        <v>0</v>
      </c>
      <c r="T40" s="46">
        <f t="shared" si="19"/>
        <v>1.0949136733399403</v>
      </c>
      <c r="U40" s="46">
        <f t="shared" si="7"/>
        <v>0.91361965999339345</v>
      </c>
      <c r="V40" s="46">
        <f t="shared" si="20"/>
        <v>0</v>
      </c>
      <c r="W40" s="46">
        <f t="shared" si="8"/>
        <v>1.0949136733399403</v>
      </c>
      <c r="X40" s="103">
        <f t="shared" si="9"/>
        <v>0</v>
      </c>
      <c r="Y40" s="46">
        <f>X40*Inputs!$B$8</f>
        <v>0</v>
      </c>
      <c r="Z40" s="170">
        <f t="shared" si="21"/>
        <v>254</v>
      </c>
      <c r="AA40" s="104">
        <f>IF(AND(Z40&gt;=255,C40&lt;=Inputs!$B$7,V40&gt;0),(($AN$22-$AN$21)/($AM$22-$AM$21)*(Z40-$AM$21)+$AN$21)*O40,0)</f>
        <v>0</v>
      </c>
      <c r="AB40" s="104">
        <f t="shared" si="10"/>
        <v>1.0949136733399403</v>
      </c>
      <c r="AC40" s="46">
        <f t="shared" si="11"/>
        <v>0.91361965999339345</v>
      </c>
      <c r="AD40" s="46">
        <f t="shared" si="22"/>
        <v>0</v>
      </c>
      <c r="AE40" s="46">
        <f t="shared" si="12"/>
        <v>1.0949136733399403</v>
      </c>
      <c r="AF40" s="103">
        <f>IF(S40&gt;0,(((R40/O40)*S40)*Inputs!$B$12)+((Q40/O40)*S40)*Inputs!$B$23,0)</f>
        <v>0</v>
      </c>
      <c r="AG40" s="103">
        <f>IF(AA40&gt;0,(((W40/T40)*AA40)*Inputs!$B$12)+((V40/T40)*AA40)*Inputs!$B$23,0)</f>
        <v>0</v>
      </c>
      <c r="AH40" s="331">
        <f>IF(AB40&gt;0,((J40*Inputs!$B$18*Inputs!$B$41/$C$18)-O40),0)</f>
        <v>0.41795525629335972</v>
      </c>
      <c r="AI40" s="331">
        <f>IFERROR(((R40/O40)*AH40)*((Inputs!$B$12)+(((Q40/O40)*AH40)*Inputs!$B$23)),0)</f>
        <v>0.10030926151040633</v>
      </c>
    </row>
    <row r="41" spans="2:39" s="47" customFormat="1">
      <c r="B41" s="146">
        <v>0.75</v>
      </c>
      <c r="C41" s="125">
        <f>Profiles!E50</f>
        <v>254</v>
      </c>
      <c r="D41" s="133">
        <f t="shared" si="13"/>
        <v>254</v>
      </c>
      <c r="E41" s="127">
        <v>0</v>
      </c>
      <c r="F41" s="127">
        <v>0</v>
      </c>
      <c r="G41" s="127">
        <v>0</v>
      </c>
      <c r="H41" s="127">
        <v>0</v>
      </c>
      <c r="I41" s="45">
        <f>Profiles!I24</f>
        <v>0.12</v>
      </c>
      <c r="J41" s="45">
        <f>Profiles!F50</f>
        <v>0.02</v>
      </c>
      <c r="K41" s="46">
        <f>Inputs!$B$9*Inputs!$A$41/$C$18*I41</f>
        <v>3.0128000000000004</v>
      </c>
      <c r="L41" s="46">
        <f t="shared" si="14"/>
        <v>1</v>
      </c>
      <c r="M41" s="114">
        <f>IF(Inputs!$B$26="Yes",VLOOKUP(D41,VWR[#All],2,FALSE),1)</f>
        <v>0.78666666666666663</v>
      </c>
      <c r="N41" s="114">
        <f>IF(Inputs!$B$27="Yes",VLOOKUP(D41,VVR[#All],2,FALSE),0)</f>
        <v>0.08</v>
      </c>
      <c r="O41" s="46">
        <f>(J41*Inputs!$B$18*Inputs!$B$41/$C$18)*(1-N41)*M41</f>
        <v>0.48662829926219575</v>
      </c>
      <c r="P41" s="46">
        <f t="shared" si="15"/>
        <v>2.5261717007378044</v>
      </c>
      <c r="Q41" s="46">
        <f t="shared" si="16"/>
        <v>0</v>
      </c>
      <c r="R41" s="46">
        <f t="shared" si="17"/>
        <v>0.48662829926219575</v>
      </c>
      <c r="S41" s="103">
        <f t="shared" si="18"/>
        <v>0</v>
      </c>
      <c r="T41" s="46">
        <f t="shared" si="19"/>
        <v>0.48662829926219575</v>
      </c>
      <c r="U41" s="46">
        <f t="shared" si="7"/>
        <v>2.5261717007378044</v>
      </c>
      <c r="V41" s="46">
        <f t="shared" si="20"/>
        <v>0</v>
      </c>
      <c r="W41" s="46">
        <f t="shared" si="8"/>
        <v>0.48662829926219575</v>
      </c>
      <c r="X41" s="103">
        <f t="shared" si="9"/>
        <v>0</v>
      </c>
      <c r="Y41" s="46">
        <f>X41*Inputs!$B$8</f>
        <v>0</v>
      </c>
      <c r="Z41" s="170">
        <f t="shared" si="21"/>
        <v>254</v>
      </c>
      <c r="AA41" s="104">
        <f>IF(AND(Z41&gt;=255,C41&lt;=Inputs!$B$7,V41&gt;0),(($AN$22-$AN$21)/($AM$22-$AM$21)*(Z41-$AM$21)+$AN$21)*O41,0)</f>
        <v>0</v>
      </c>
      <c r="AB41" s="104">
        <f t="shared" si="10"/>
        <v>0.48662829926219575</v>
      </c>
      <c r="AC41" s="46">
        <f t="shared" si="11"/>
        <v>2.5261717007378044</v>
      </c>
      <c r="AD41" s="46">
        <f t="shared" si="22"/>
        <v>0</v>
      </c>
      <c r="AE41" s="46">
        <f t="shared" si="12"/>
        <v>0.48662829926219575</v>
      </c>
      <c r="AF41" s="103">
        <f>IF(S41&gt;0,(((R41/O41)*S41)*Inputs!$B$12)+((Q41/O41)*S41)*Inputs!$B$23,0)</f>
        <v>0</v>
      </c>
      <c r="AG41" s="103">
        <f>IF(AA41&gt;0,(((W41/T41)*AA41)*Inputs!$B$12)+((V41/T41)*AA41)*Inputs!$B$23,0)</f>
        <v>0</v>
      </c>
      <c r="AH41" s="331">
        <f>IF(AB41&gt;0,((J41*Inputs!$B$18*Inputs!$B$41/$C$18)-O41),0)</f>
        <v>0.1857578916859377</v>
      </c>
      <c r="AI41" s="331">
        <f>IFERROR(((R41/O41)*AH41)*((Inputs!$B$12)+(((Q41/O41)*AH41)*Inputs!$B$23)),0)</f>
        <v>4.4581894004625047E-2</v>
      </c>
    </row>
    <row r="42" spans="2:39" s="47" customFormat="1">
      <c r="B42" s="146">
        <v>0.79166666666666696</v>
      </c>
      <c r="C42" s="125">
        <f>Profiles!E51</f>
        <v>255</v>
      </c>
      <c r="D42" s="133">
        <f t="shared" si="13"/>
        <v>255</v>
      </c>
      <c r="E42" s="127">
        <v>0</v>
      </c>
      <c r="F42" s="127">
        <v>0</v>
      </c>
      <c r="G42" s="127">
        <v>0</v>
      </c>
      <c r="H42" s="127">
        <v>0</v>
      </c>
      <c r="I42" s="45">
        <f>Profiles!I25</f>
        <v>0.12</v>
      </c>
      <c r="J42" s="45">
        <f>Profiles!F51</f>
        <v>0</v>
      </c>
      <c r="K42" s="46">
        <f>Inputs!$B$9*Inputs!$A$41/$C$18*I42</f>
        <v>3.0128000000000004</v>
      </c>
      <c r="L42" s="46">
        <f t="shared" si="14"/>
        <v>1</v>
      </c>
      <c r="M42" s="114">
        <f>IF(Inputs!$B$26="Yes",VLOOKUP(D42,VWR[#All],2,FALSE),1)</f>
        <v>0.73333333333333339</v>
      </c>
      <c r="N42" s="114">
        <f>IF(Inputs!$B$27="Yes",VLOOKUP(D42,VVR[#All],2,FALSE),0)</f>
        <v>0.1</v>
      </c>
      <c r="O42" s="46">
        <f>(J42*Inputs!$B$18*Inputs!$B$41/$C$18)*(1-N42)*M42</f>
        <v>0</v>
      </c>
      <c r="P42" s="46">
        <f t="shared" si="15"/>
        <v>3.0128000000000004</v>
      </c>
      <c r="Q42" s="46">
        <f t="shared" si="16"/>
        <v>0</v>
      </c>
      <c r="R42" s="46">
        <f t="shared" si="17"/>
        <v>0</v>
      </c>
      <c r="S42" s="103">
        <f t="shared" si="18"/>
        <v>0</v>
      </c>
      <c r="T42" s="46">
        <f t="shared" si="19"/>
        <v>0</v>
      </c>
      <c r="U42" s="46">
        <f t="shared" si="7"/>
        <v>3.0128000000000004</v>
      </c>
      <c r="V42" s="46">
        <f t="shared" si="20"/>
        <v>0</v>
      </c>
      <c r="W42" s="46">
        <f t="shared" si="8"/>
        <v>0</v>
      </c>
      <c r="X42" s="103">
        <f t="shared" si="9"/>
        <v>0</v>
      </c>
      <c r="Y42" s="46">
        <f>X42*Inputs!$B$8</f>
        <v>0</v>
      </c>
      <c r="Z42" s="170">
        <f t="shared" si="21"/>
        <v>255</v>
      </c>
      <c r="AA42" s="104">
        <f>IF(AND(Z42&gt;=255,C42&lt;=Inputs!$B$7,V42&gt;0),(($AN$22-$AN$21)/($AM$22-$AM$21)*(Z42-$AM$21)+$AN$21)*O42,0)</f>
        <v>0</v>
      </c>
      <c r="AB42" s="104">
        <f t="shared" si="10"/>
        <v>0</v>
      </c>
      <c r="AC42" s="46">
        <f t="shared" si="11"/>
        <v>3.0128000000000004</v>
      </c>
      <c r="AD42" s="46">
        <f t="shared" si="22"/>
        <v>0</v>
      </c>
      <c r="AE42" s="46">
        <f t="shared" si="12"/>
        <v>0</v>
      </c>
      <c r="AF42" s="103">
        <f>IF(S42&gt;0,(((R42/O42)*S42)*Inputs!$B$12)+((Q42/O42)*S42)*Inputs!$B$23,0)</f>
        <v>0</v>
      </c>
      <c r="AG42" s="103">
        <f>IF(AA42&gt;0,(((W42/T42)*AA42)*Inputs!$B$12)+((V42/T42)*AA42)*Inputs!$B$23,0)</f>
        <v>0</v>
      </c>
      <c r="AH42" s="331">
        <f>IF(AB42&gt;0,((J42*Inputs!$B$18*Inputs!$B$41/$C$18)-O42),0)</f>
        <v>0</v>
      </c>
      <c r="AI42" s="331">
        <f>IFERROR(((R42/O42)*AH42)*((Inputs!$B$12)+(((Q42/O42)*AH42)*Inputs!$B$23)),0)</f>
        <v>0</v>
      </c>
    </row>
    <row r="43" spans="2:39" s="47" customFormat="1">
      <c r="B43" s="146">
        <v>0.83333333333333304</v>
      </c>
      <c r="C43" s="125">
        <f>Profiles!E52</f>
        <v>255</v>
      </c>
      <c r="D43" s="133">
        <f t="shared" si="13"/>
        <v>255</v>
      </c>
      <c r="E43" s="127">
        <v>0</v>
      </c>
      <c r="F43" s="127">
        <v>0</v>
      </c>
      <c r="G43" s="127">
        <v>0</v>
      </c>
      <c r="H43" s="127">
        <v>0</v>
      </c>
      <c r="I43" s="45">
        <f>Profiles!I26</f>
        <v>0.08</v>
      </c>
      <c r="J43" s="45">
        <f>Profiles!F52</f>
        <v>0</v>
      </c>
      <c r="K43" s="46">
        <f>Inputs!$B$9*Inputs!$A$41/$C$18*I43</f>
        <v>2.0085333333333337</v>
      </c>
      <c r="L43" s="46">
        <f>IF(D43=C43,1,0)</f>
        <v>1</v>
      </c>
      <c r="M43" s="114">
        <f>IF(Inputs!$B$26="Yes",VLOOKUP(D43,VWR[#All],2,FALSE),1)</f>
        <v>0.73333333333333339</v>
      </c>
      <c r="N43" s="114">
        <f>IF(Inputs!$B$27="Yes",VLOOKUP(D43,VVR[#All],2,FALSE),0)</f>
        <v>0.1</v>
      </c>
      <c r="O43" s="46">
        <f>(J43*Inputs!$B$18*Inputs!$B$41/$C$18)*(1-N43)*M43</f>
        <v>0</v>
      </c>
      <c r="P43" s="46">
        <f t="shared" si="15"/>
        <v>2.0085333333333337</v>
      </c>
      <c r="Q43" s="46">
        <f>IF(O43&gt;K43,MIN((O43-K43),5),0)</f>
        <v>0</v>
      </c>
      <c r="R43" s="46">
        <f t="shared" si="17"/>
        <v>0</v>
      </c>
      <c r="S43" s="103">
        <f t="shared" si="18"/>
        <v>0</v>
      </c>
      <c r="T43" s="46">
        <f t="shared" si="19"/>
        <v>0</v>
      </c>
      <c r="U43" s="46">
        <f t="shared" si="7"/>
        <v>2.0085333333333337</v>
      </c>
      <c r="V43" s="46">
        <f t="shared" si="20"/>
        <v>0</v>
      </c>
      <c r="W43" s="46">
        <f t="shared" si="8"/>
        <v>0</v>
      </c>
      <c r="X43" s="103">
        <f t="shared" si="9"/>
        <v>0</v>
      </c>
      <c r="Y43" s="46">
        <f>X43*Inputs!$B$8</f>
        <v>0</v>
      </c>
      <c r="Z43" s="170">
        <f t="shared" si="21"/>
        <v>255</v>
      </c>
      <c r="AA43" s="104">
        <f>IF(AND(Z43&gt;=255,C43&lt;=Inputs!$B$7,V43&gt;0),(($AN$22-$AN$21)/($AM$22-$AM$21)*(Z43-$AM$21)+$AN$21)*O43,0)</f>
        <v>0</v>
      </c>
      <c r="AB43" s="104">
        <f t="shared" si="10"/>
        <v>0</v>
      </c>
      <c r="AC43" s="46">
        <f t="shared" si="11"/>
        <v>2.0085333333333337</v>
      </c>
      <c r="AD43" s="46">
        <f t="shared" si="22"/>
        <v>0</v>
      </c>
      <c r="AE43" s="46">
        <f t="shared" si="12"/>
        <v>0</v>
      </c>
      <c r="AF43" s="103">
        <f>IF(S43&gt;0,(((R43/O43)*S43)*Inputs!$B$12)+((Q43/O43)*S43)*Inputs!$B$23,0)</f>
        <v>0</v>
      </c>
      <c r="AG43" s="103">
        <f>IF(AA43&gt;0,(((W43/T43)*AA43)*Inputs!$B$12)+((V43/T43)*AA43)*Inputs!$B$23,0)</f>
        <v>0</v>
      </c>
      <c r="AH43" s="331">
        <f>IF(AB43&gt;0,((J43*Inputs!$B$18*Inputs!$B$41/$C$18)-O43),0)</f>
        <v>0</v>
      </c>
      <c r="AI43" s="331">
        <f>IFERROR(((R43/O43)*AH43)*((Inputs!$B$12)+(((Q43/O43)*AH43)*Inputs!$B$23)),0)</f>
        <v>0</v>
      </c>
    </row>
    <row r="44" spans="2:39" s="47" customFormat="1">
      <c r="B44" s="146">
        <v>0.875</v>
      </c>
      <c r="C44" s="125">
        <f>Profiles!E53</f>
        <v>255</v>
      </c>
      <c r="D44" s="133">
        <f t="shared" si="13"/>
        <v>255</v>
      </c>
      <c r="E44" s="127">
        <v>0</v>
      </c>
      <c r="F44" s="127">
        <v>0</v>
      </c>
      <c r="G44" s="127">
        <v>0</v>
      </c>
      <c r="H44" s="127">
        <v>0</v>
      </c>
      <c r="I44" s="45">
        <f>Profiles!I27</f>
        <v>0.06</v>
      </c>
      <c r="J44" s="45">
        <f>Profiles!F53</f>
        <v>0</v>
      </c>
      <c r="K44" s="46">
        <f>Inputs!$B$9*Inputs!$A$41/$C$18*I44</f>
        <v>1.5064000000000002</v>
      </c>
      <c r="L44" s="46">
        <f t="shared" si="14"/>
        <v>1</v>
      </c>
      <c r="M44" s="114">
        <f>IF(Inputs!$B$26="Yes",VLOOKUP(D44,VWR[#All],2,FALSE),1)</f>
        <v>0.73333333333333339</v>
      </c>
      <c r="N44" s="114">
        <f>IF(Inputs!$B$27="Yes",VLOOKUP(D44,VVR[#All],2,FALSE),0)</f>
        <v>0.1</v>
      </c>
      <c r="O44" s="46">
        <f>(J44*Inputs!$B$18*Inputs!$B$41/$C$18)*(1-N44)*M44</f>
        <v>0</v>
      </c>
      <c r="P44" s="46">
        <f t="shared" si="15"/>
        <v>1.5064000000000002</v>
      </c>
      <c r="Q44" s="46">
        <f t="shared" si="16"/>
        <v>0</v>
      </c>
      <c r="R44" s="46">
        <f t="shared" si="17"/>
        <v>0</v>
      </c>
      <c r="S44" s="103">
        <f t="shared" si="18"/>
        <v>0</v>
      </c>
      <c r="T44" s="46">
        <f t="shared" si="19"/>
        <v>0</v>
      </c>
      <c r="U44" s="46">
        <f t="shared" si="7"/>
        <v>1.5064000000000002</v>
      </c>
      <c r="V44" s="46">
        <f t="shared" si="20"/>
        <v>0</v>
      </c>
      <c r="W44" s="46">
        <f t="shared" si="8"/>
        <v>0</v>
      </c>
      <c r="X44" s="103">
        <f t="shared" si="9"/>
        <v>0</v>
      </c>
      <c r="Y44" s="46">
        <f>X44*Inputs!$B$8</f>
        <v>0</v>
      </c>
      <c r="Z44" s="170">
        <f t="shared" si="21"/>
        <v>255</v>
      </c>
      <c r="AA44" s="104">
        <f>IF(AND(Z44&gt;=255,C44&lt;=Inputs!$B$7,V44&gt;0),(($AN$22-$AN$21)/($AM$22-$AM$21)*(Z44-$AM$21)+$AN$21)*O44,0)</f>
        <v>0</v>
      </c>
      <c r="AB44" s="104">
        <f t="shared" si="10"/>
        <v>0</v>
      </c>
      <c r="AC44" s="46">
        <f t="shared" si="11"/>
        <v>1.5064000000000002</v>
      </c>
      <c r="AD44" s="46">
        <f t="shared" si="22"/>
        <v>0</v>
      </c>
      <c r="AE44" s="46">
        <f t="shared" si="12"/>
        <v>0</v>
      </c>
      <c r="AF44" s="103">
        <f>IF(S44&gt;0,(((R44/O44)*S44)*Inputs!$B$12)+((Q44/O44)*S44)*Inputs!$B$23,0)</f>
        <v>0</v>
      </c>
      <c r="AG44" s="103">
        <f>IF(AA44&gt;0,(((W44/T44)*AA44)*Inputs!$B$12)+((V44/T44)*AA44)*Inputs!$B$23,0)</f>
        <v>0</v>
      </c>
      <c r="AH44" s="331">
        <f>IF(AB44&gt;0,((J44*Inputs!$B$18*Inputs!$B$41/$C$18)-O44),0)</f>
        <v>0</v>
      </c>
      <c r="AI44" s="331">
        <f>IFERROR(((R44/O44)*AH44)*((Inputs!$B$12)+(((Q44/O44)*AH44)*Inputs!$B$23)),0)</f>
        <v>0</v>
      </c>
    </row>
    <row r="45" spans="2:39" s="47" customFormat="1">
      <c r="B45" s="146">
        <v>0.91666666666666696</v>
      </c>
      <c r="C45" s="125">
        <f>Profiles!E54</f>
        <v>255</v>
      </c>
      <c r="D45" s="133">
        <f t="shared" si="13"/>
        <v>255</v>
      </c>
      <c r="E45" s="127">
        <v>0</v>
      </c>
      <c r="F45" s="127">
        <v>0</v>
      </c>
      <c r="G45" s="127">
        <v>0</v>
      </c>
      <c r="H45" s="127">
        <v>0</v>
      </c>
      <c r="I45" s="45">
        <f>Profiles!I28</f>
        <v>0.03</v>
      </c>
      <c r="J45" s="45">
        <f>Profiles!F54</f>
        <v>0</v>
      </c>
      <c r="K45" s="46">
        <f>Inputs!$B$9*Inputs!$A$41/$C$18*I45</f>
        <v>0.75320000000000009</v>
      </c>
      <c r="L45" s="46">
        <f t="shared" si="14"/>
        <v>1</v>
      </c>
      <c r="M45" s="114">
        <f>IF(Inputs!$B$26="Yes",VLOOKUP(D45,VWR[#All],2,FALSE),1)</f>
        <v>0.73333333333333339</v>
      </c>
      <c r="N45" s="114">
        <f>IF(Inputs!$B$27="Yes",VLOOKUP(D45,VVR[#All],2,FALSE),0)</f>
        <v>0.1</v>
      </c>
      <c r="O45" s="46">
        <f>(J45*Inputs!$B$18*Inputs!$B$41/$C$18)*(1-N45)*M45</f>
        <v>0</v>
      </c>
      <c r="P45" s="46">
        <f t="shared" si="15"/>
        <v>0.75320000000000009</v>
      </c>
      <c r="Q45" s="46">
        <f t="shared" si="16"/>
        <v>0</v>
      </c>
      <c r="R45" s="46">
        <f t="shared" si="17"/>
        <v>0</v>
      </c>
      <c r="S45" s="103">
        <f t="shared" si="18"/>
        <v>0</v>
      </c>
      <c r="T45" s="46">
        <f t="shared" si="19"/>
        <v>0</v>
      </c>
      <c r="U45" s="46">
        <f t="shared" si="7"/>
        <v>0.75320000000000009</v>
      </c>
      <c r="V45" s="46">
        <f t="shared" si="20"/>
        <v>0</v>
      </c>
      <c r="W45" s="46">
        <f t="shared" si="8"/>
        <v>0</v>
      </c>
      <c r="X45" s="103">
        <f t="shared" si="9"/>
        <v>0</v>
      </c>
      <c r="Y45" s="46">
        <f>X45*Inputs!$B$8</f>
        <v>0</v>
      </c>
      <c r="Z45" s="170">
        <f t="shared" si="21"/>
        <v>255</v>
      </c>
      <c r="AA45" s="104">
        <f>IF(AND(Z45&gt;=255,C45&lt;=Inputs!$B$7,V45&gt;0),(($AN$22-$AN$21)/($AM$22-$AM$21)*(Z45-$AM$21)+$AN$21)*O45,0)</f>
        <v>0</v>
      </c>
      <c r="AB45" s="104">
        <f t="shared" si="10"/>
        <v>0</v>
      </c>
      <c r="AC45" s="46">
        <f t="shared" si="11"/>
        <v>0.75320000000000009</v>
      </c>
      <c r="AD45" s="46">
        <f t="shared" si="22"/>
        <v>0</v>
      </c>
      <c r="AE45" s="46">
        <f t="shared" si="12"/>
        <v>0</v>
      </c>
      <c r="AF45" s="103">
        <f>IF(S45&gt;0,(((R45/O45)*S45)*Inputs!$B$12)+((Q45/O45)*S45)*Inputs!$B$23,0)</f>
        <v>0</v>
      </c>
      <c r="AG45" s="103">
        <f>IF(AA45&gt;0,(((W45/T45)*AA45)*Inputs!$B$12)+((V45/T45)*AA45)*Inputs!$B$23,0)</f>
        <v>0</v>
      </c>
      <c r="AH45" s="331">
        <f>IF(AB45&gt;0,((J45*Inputs!$B$18*Inputs!$B$41/$C$18)-O45),0)</f>
        <v>0</v>
      </c>
      <c r="AI45" s="331">
        <f>IFERROR(((R45/O45)*AH45)*((Inputs!$B$12)+(((Q45/O45)*AH45)*Inputs!$B$23)),0)</f>
        <v>0</v>
      </c>
    </row>
    <row r="46" spans="2:39" s="47" customFormat="1">
      <c r="B46" s="146">
        <v>0.95833333333333304</v>
      </c>
      <c r="C46" s="125">
        <f>Profiles!E55</f>
        <v>255</v>
      </c>
      <c r="D46" s="133">
        <f t="shared" si="13"/>
        <v>255</v>
      </c>
      <c r="E46" s="127">
        <v>0</v>
      </c>
      <c r="F46" s="127">
        <v>0</v>
      </c>
      <c r="G46" s="127">
        <v>0</v>
      </c>
      <c r="H46" s="127">
        <v>0</v>
      </c>
      <c r="I46" s="45">
        <f>Profiles!I29</f>
        <v>0.01</v>
      </c>
      <c r="J46" s="45">
        <f>Profiles!F55</f>
        <v>0</v>
      </c>
      <c r="K46" s="46">
        <f>Inputs!$B$9*Inputs!$A$41/$C$18*I46</f>
        <v>0.25106666666666672</v>
      </c>
      <c r="L46" s="46">
        <f t="shared" si="14"/>
        <v>1</v>
      </c>
      <c r="M46" s="114">
        <f>IF(Inputs!$B$26="Yes",VLOOKUP(D46,VWR[#All],2,FALSE),1)</f>
        <v>0.73333333333333339</v>
      </c>
      <c r="N46" s="114">
        <f>IF(Inputs!$B$27="Yes",VLOOKUP(D46,VVR[#All],2,FALSE),0)</f>
        <v>0.1</v>
      </c>
      <c r="O46" s="46">
        <f>(J46*Inputs!$B$18*Inputs!$B$41/$C$18)*(1-N46)*M46</f>
        <v>0</v>
      </c>
      <c r="P46" s="46">
        <f t="shared" si="15"/>
        <v>0.25106666666666672</v>
      </c>
      <c r="Q46" s="46">
        <f t="shared" si="16"/>
        <v>0</v>
      </c>
      <c r="R46" s="46">
        <f t="shared" si="17"/>
        <v>0</v>
      </c>
      <c r="S46" s="103">
        <f t="shared" si="18"/>
        <v>0</v>
      </c>
      <c r="T46" s="46">
        <f t="shared" si="19"/>
        <v>0</v>
      </c>
      <c r="U46" s="46">
        <f t="shared" si="7"/>
        <v>0.25106666666666672</v>
      </c>
      <c r="V46" s="46">
        <f t="shared" si="20"/>
        <v>0</v>
      </c>
      <c r="W46" s="46">
        <f t="shared" si="8"/>
        <v>0</v>
      </c>
      <c r="X46" s="103">
        <f t="shared" si="9"/>
        <v>0</v>
      </c>
      <c r="Y46" s="46">
        <f>X46*Inputs!$B$8</f>
        <v>0</v>
      </c>
      <c r="Z46" s="170">
        <f t="shared" si="21"/>
        <v>255</v>
      </c>
      <c r="AA46" s="104">
        <f>IF(AND(Z46&gt;=255,C46&lt;=Inputs!$B$7,V46&gt;0),(($AN$22-$AN$21)/($AM$22-$AM$21)*(Z46-$AM$21)+$AN$21)*O46,0)</f>
        <v>0</v>
      </c>
      <c r="AB46" s="104">
        <f t="shared" si="10"/>
        <v>0</v>
      </c>
      <c r="AC46" s="46">
        <f t="shared" si="11"/>
        <v>0.25106666666666672</v>
      </c>
      <c r="AD46" s="46">
        <f t="shared" si="22"/>
        <v>0</v>
      </c>
      <c r="AE46" s="46">
        <f t="shared" si="12"/>
        <v>0</v>
      </c>
      <c r="AF46" s="103">
        <f>IF(S46&gt;0,(((R46/O46)*S46)*Inputs!$B$12)+((Q46/O46)*S46)*Inputs!$B$23,0)</f>
        <v>0</v>
      </c>
      <c r="AG46" s="103">
        <f>IF(AA46&gt;0,(((W46/T46)*AA46)*Inputs!$B$12)+((V46/T46)*AA46)*Inputs!$B$23,0)</f>
        <v>0</v>
      </c>
      <c r="AH46" s="331">
        <f>IF(AB46&gt;0,((J46*Inputs!$B$18*Inputs!$B$41/$C$18)-O46),0)</f>
        <v>0</v>
      </c>
      <c r="AI46" s="331">
        <f>IFERROR(((R46/O46)*AH46)*((Inputs!$B$12)+(((Q46/O46)*AH46)*Inputs!$B$23)),0)</f>
        <v>0</v>
      </c>
    </row>
    <row r="47" spans="2:39" s="47" customFormat="1">
      <c r="B47" s="44"/>
      <c r="C47" s="120"/>
      <c r="D47" s="120"/>
      <c r="E47" s="120"/>
      <c r="F47" s="120"/>
      <c r="G47" s="120"/>
      <c r="H47" s="120"/>
      <c r="I47" s="46"/>
      <c r="J47" s="46"/>
      <c r="K47" s="46"/>
      <c r="L47" s="46"/>
      <c r="M47" s="46"/>
      <c r="N47" s="46"/>
      <c r="O47" s="46"/>
      <c r="P47" s="46"/>
      <c r="Q47" s="46"/>
      <c r="R47" s="46"/>
      <c r="S47" s="46"/>
      <c r="W47" s="37"/>
      <c r="AA47" s="37"/>
      <c r="AB47" s="37"/>
    </row>
    <row r="48" spans="2:39" ht="18" customHeight="1">
      <c r="B48" s="144" t="s">
        <v>103</v>
      </c>
      <c r="C48" s="250">
        <f>92-D48</f>
        <v>92</v>
      </c>
      <c r="D48" s="117">
        <f>((7-Inputs!$B$13)*4*3)</f>
        <v>0</v>
      </c>
      <c r="E48" s="117"/>
      <c r="F48" s="117"/>
      <c r="G48" s="117"/>
      <c r="H48" s="117"/>
      <c r="S48" s="46"/>
      <c r="AM48" s="47"/>
    </row>
    <row r="49" spans="2:39" ht="18" customHeight="1">
      <c r="B49" s="50" t="s">
        <v>104</v>
      </c>
      <c r="C49" s="118"/>
      <c r="D49" s="118"/>
      <c r="E49" s="118"/>
      <c r="F49" s="118"/>
      <c r="G49" s="118"/>
      <c r="H49" s="118"/>
      <c r="I49" s="349" t="s">
        <v>70</v>
      </c>
      <c r="J49" s="350"/>
      <c r="K49" s="351" t="s">
        <v>71</v>
      </c>
      <c r="L49" s="351"/>
      <c r="M49" s="351"/>
      <c r="N49" s="351"/>
      <c r="O49" s="351"/>
      <c r="P49" s="351"/>
      <c r="Q49" s="351"/>
      <c r="R49" s="351"/>
      <c r="S49" s="352" t="s">
        <v>72</v>
      </c>
      <c r="T49" s="352"/>
      <c r="U49" s="352"/>
      <c r="V49" s="352"/>
      <c r="W49" s="352"/>
      <c r="X49" s="353" t="s">
        <v>73</v>
      </c>
      <c r="Y49" s="354"/>
      <c r="Z49" s="354"/>
      <c r="AA49" s="355"/>
      <c r="AB49" s="356" t="s">
        <v>105</v>
      </c>
      <c r="AC49" s="357"/>
      <c r="AD49" s="357"/>
      <c r="AE49" s="358"/>
      <c r="AF49" s="359" t="s">
        <v>75</v>
      </c>
      <c r="AG49" s="360"/>
      <c r="AH49" s="361" t="s">
        <v>252</v>
      </c>
      <c r="AI49" s="361"/>
      <c r="AJ49" s="361"/>
      <c r="AK49" s="361"/>
      <c r="AM49" s="47"/>
    </row>
    <row r="50" spans="2:39" ht="45" customHeight="1">
      <c r="B50" s="128" t="s">
        <v>76</v>
      </c>
      <c r="C50" s="129" t="s">
        <v>23</v>
      </c>
      <c r="D50" s="129" t="s">
        <v>24</v>
      </c>
      <c r="E50" s="129" t="s">
        <v>77</v>
      </c>
      <c r="F50" s="129" t="s">
        <v>78</v>
      </c>
      <c r="G50" s="129" t="s">
        <v>79</v>
      </c>
      <c r="H50" s="129" t="s">
        <v>80</v>
      </c>
      <c r="I50" s="39" t="s">
        <v>81</v>
      </c>
      <c r="J50" s="39" t="s">
        <v>82</v>
      </c>
      <c r="K50" s="39" t="s">
        <v>83</v>
      </c>
      <c r="L50" s="39" t="s">
        <v>84</v>
      </c>
      <c r="M50" s="39" t="s">
        <v>240</v>
      </c>
      <c r="N50" s="39" t="s">
        <v>248</v>
      </c>
      <c r="O50" s="39" t="s">
        <v>85</v>
      </c>
      <c r="P50" s="39" t="s">
        <v>86</v>
      </c>
      <c r="Q50" s="39" t="s">
        <v>87</v>
      </c>
      <c r="R50" s="39" t="s">
        <v>88</v>
      </c>
      <c r="S50" s="39" t="s">
        <v>89</v>
      </c>
      <c r="T50" s="39" t="s">
        <v>85</v>
      </c>
      <c r="U50" s="39" t="s">
        <v>86</v>
      </c>
      <c r="V50" s="39" t="s">
        <v>87</v>
      </c>
      <c r="W50" s="39" t="s">
        <v>88</v>
      </c>
      <c r="X50" s="39" t="s">
        <v>90</v>
      </c>
      <c r="Y50" s="39" t="s">
        <v>91</v>
      </c>
      <c r="Z50" s="39" t="s">
        <v>92</v>
      </c>
      <c r="AA50" s="39" t="s">
        <v>93</v>
      </c>
      <c r="AB50" s="39" t="s">
        <v>85</v>
      </c>
      <c r="AC50" s="39" t="s">
        <v>86</v>
      </c>
      <c r="AD50" s="39" t="s">
        <v>87</v>
      </c>
      <c r="AE50" s="39" t="s">
        <v>88</v>
      </c>
      <c r="AF50" s="39" t="s">
        <v>94</v>
      </c>
      <c r="AG50" s="39" t="s">
        <v>95</v>
      </c>
      <c r="AH50" s="39" t="s">
        <v>253</v>
      </c>
      <c r="AI50" s="39" t="s">
        <v>253</v>
      </c>
    </row>
    <row r="51" spans="2:39" ht="14.25" customHeight="1">
      <c r="B51" s="41"/>
      <c r="C51" s="132" t="s">
        <v>98</v>
      </c>
      <c r="D51" s="130" t="s">
        <v>98</v>
      </c>
      <c r="E51" s="131"/>
      <c r="F51" s="131"/>
      <c r="G51" s="131"/>
      <c r="H51" s="131"/>
      <c r="I51" s="39" t="s">
        <v>99</v>
      </c>
      <c r="J51" s="39" t="s">
        <v>99</v>
      </c>
      <c r="K51" s="39" t="s">
        <v>100</v>
      </c>
      <c r="L51" s="39" t="s">
        <v>101</v>
      </c>
      <c r="M51" s="39" t="s">
        <v>101</v>
      </c>
      <c r="N51" s="39" t="s">
        <v>101</v>
      </c>
      <c r="O51" s="39" t="s">
        <v>100</v>
      </c>
      <c r="P51" s="39" t="s">
        <v>100</v>
      </c>
      <c r="Q51" s="39" t="s">
        <v>100</v>
      </c>
      <c r="R51" s="39" t="s">
        <v>100</v>
      </c>
      <c r="S51" s="39" t="s">
        <v>100</v>
      </c>
      <c r="T51" s="39" t="s">
        <v>100</v>
      </c>
      <c r="U51" s="39" t="s">
        <v>100</v>
      </c>
      <c r="V51" s="39" t="s">
        <v>100</v>
      </c>
      <c r="W51" s="39" t="s">
        <v>100</v>
      </c>
      <c r="X51" s="39" t="s">
        <v>102</v>
      </c>
      <c r="Y51" s="39" t="s">
        <v>98</v>
      </c>
      <c r="Z51" s="39" t="s">
        <v>98</v>
      </c>
      <c r="AA51" s="39" t="s">
        <v>100</v>
      </c>
      <c r="AB51" s="39" t="s">
        <v>100</v>
      </c>
      <c r="AC51" s="39" t="s">
        <v>100</v>
      </c>
      <c r="AD51" s="39" t="s">
        <v>100</v>
      </c>
      <c r="AE51" s="39" t="s">
        <v>100</v>
      </c>
      <c r="AF51" s="39" t="s">
        <v>67</v>
      </c>
      <c r="AG51" s="39" t="s">
        <v>67</v>
      </c>
      <c r="AH51" s="39" t="s">
        <v>100</v>
      </c>
      <c r="AI51" s="39" t="s">
        <v>67</v>
      </c>
    </row>
    <row r="52" spans="2:39" ht="14.25" customHeight="1">
      <c r="B52" s="41" t="s">
        <v>20</v>
      </c>
      <c r="C52" s="119"/>
      <c r="D52" s="119"/>
      <c r="E52" s="119"/>
      <c r="F52" s="119"/>
      <c r="G52" s="119"/>
      <c r="H52" s="119"/>
      <c r="I52" s="42">
        <f t="shared" ref="I52:J52" si="23">SUM(I53:I76)</f>
        <v>1.0000000000000002</v>
      </c>
      <c r="J52" s="42">
        <f t="shared" si="23"/>
        <v>1</v>
      </c>
      <c r="K52" s="43">
        <f>SUM(K53:K76)</f>
        <v>22.278260869565223</v>
      </c>
      <c r="L52" s="155">
        <f>SUM(L53:L76)/24</f>
        <v>1</v>
      </c>
      <c r="M52" s="43">
        <f>AVERAGE(M53:M76)</f>
        <v>0.72888888888888914</v>
      </c>
      <c r="N52" s="340">
        <f>AVERAGE(N53:N76)</f>
        <v>0.10166666666666672</v>
      </c>
      <c r="O52" s="43">
        <f>SUM(O53:O76)</f>
        <v>14.936549046623862</v>
      </c>
      <c r="P52" s="43">
        <f>SUM(P53:P76)</f>
        <v>15.947964968274656</v>
      </c>
      <c r="Q52" s="43">
        <f t="shared" ref="Q52" si="24">SUM(Q53:Q76)</f>
        <v>8.6062531453333051</v>
      </c>
      <c r="R52" s="43">
        <f t="shared" ref="R52" si="25">SUM(R53:R76)</f>
        <v>6.3302959012905591</v>
      </c>
      <c r="S52" s="43">
        <f t="shared" ref="S52" si="26">SUM(S53:S76)</f>
        <v>10.057121915262638</v>
      </c>
      <c r="T52" s="43">
        <f>SUM(T53:T76)</f>
        <v>4.8794271313612274</v>
      </c>
      <c r="U52" s="43">
        <f>SUM(U53:U76)</f>
        <v>18.621356272622485</v>
      </c>
      <c r="V52" s="43">
        <f>SUM(V53:V76)</f>
        <v>1.2225225344184947</v>
      </c>
      <c r="W52" s="43">
        <f>SUM(W53:W76)</f>
        <v>3.656904596942733</v>
      </c>
      <c r="X52" s="43">
        <f>AVERAGEIFS(X53:X76,V53:V76,"&gt;0")</f>
        <v>1.6085460210522502</v>
      </c>
      <c r="Y52" s="43">
        <f>AVERAGEIFS(Y53:Y76,V53:V76,"&gt;0")</f>
        <v>0.61124748799985507</v>
      </c>
      <c r="Z52" s="171">
        <f>AVERAGEIFS(Z53:Z76,V53:V76,"&gt;0")</f>
        <v>254.94458082133318</v>
      </c>
      <c r="AA52" s="43">
        <f t="shared" ref="AA52:AI52" si="27">SUM(AA53:AA76)</f>
        <v>0.3674014729957476</v>
      </c>
      <c r="AB52" s="43">
        <f t="shared" si="27"/>
        <v>4.5120256583654799</v>
      </c>
      <c r="AC52" s="43">
        <f t="shared" si="27"/>
        <v>18.780154429539031</v>
      </c>
      <c r="AD52" s="43">
        <f t="shared" si="27"/>
        <v>1.0139192183392942</v>
      </c>
      <c r="AE52" s="43">
        <f t="shared" si="27"/>
        <v>3.4981064400261856</v>
      </c>
      <c r="AF52" s="43">
        <f t="shared" si="27"/>
        <v>1.5276615863532554</v>
      </c>
      <c r="AG52" s="43">
        <f t="shared" si="27"/>
        <v>8.3503297417519606E-2</v>
      </c>
      <c r="AH52" s="43">
        <f t="shared" si="27"/>
        <v>1.4189432014047485</v>
      </c>
      <c r="AI52" s="43">
        <f t="shared" si="27"/>
        <v>0.28130246723852098</v>
      </c>
    </row>
    <row r="53" spans="2:39" ht="14.25" customHeight="1">
      <c r="B53" s="134">
        <v>0</v>
      </c>
      <c r="C53" s="123">
        <f>Profiles!E32</f>
        <v>255</v>
      </c>
      <c r="D53" s="133">
        <f>C53</f>
        <v>255</v>
      </c>
      <c r="E53" s="127">
        <v>0</v>
      </c>
      <c r="F53" s="127">
        <v>0</v>
      </c>
      <c r="G53" s="127">
        <v>0</v>
      </c>
      <c r="H53" s="127">
        <v>0</v>
      </c>
      <c r="I53" s="45">
        <f>Profiles!I6</f>
        <v>0.01</v>
      </c>
      <c r="J53" s="45">
        <f>Profiles!F32</f>
        <v>0</v>
      </c>
      <c r="K53" s="46">
        <f>Inputs!$B$9*Inputs!$A$42/$C$48*I53</f>
        <v>0.22278260869565217</v>
      </c>
      <c r="L53" s="46">
        <f>IF(D53=C53,1,0)</f>
        <v>1</v>
      </c>
      <c r="M53" s="114">
        <f>IF(Inputs!$B$26="Yes",VLOOKUP(D53,VWR[#All],2,FALSE),1)</f>
        <v>0.73333333333333339</v>
      </c>
      <c r="N53" s="114">
        <f>IF(Inputs!$B$27="Yes",VLOOKUP(D53,VVR[#All],2,FALSE),0)</f>
        <v>0.1</v>
      </c>
      <c r="O53" s="46">
        <f>(J53*Inputs!$B$18*Inputs!$B$42/$C$48)*M53</f>
        <v>0</v>
      </c>
      <c r="P53" s="46">
        <f>IF(O53&gt;K53,0,K53-O53)</f>
        <v>0.22278260869565217</v>
      </c>
      <c r="Q53" s="46">
        <f>IF(O53&gt;K53,MIN((O53-K53),5),0)</f>
        <v>0</v>
      </c>
      <c r="R53" s="46">
        <f>IF(O53&gt;K53,K53,O53)</f>
        <v>0</v>
      </c>
      <c r="S53" s="103">
        <f>IF(D53&gt;255,O53,0)</f>
        <v>0</v>
      </c>
      <c r="T53" s="46">
        <f>O53-S53</f>
        <v>0</v>
      </c>
      <c r="U53" s="46">
        <f t="shared" ref="U53:U76" si="28">IF(T53&gt;K53,0,K53-T53)</f>
        <v>0.22278260869565217</v>
      </c>
      <c r="V53" s="46">
        <f>IF(T53&gt;K53,MIN((T53-K53),5),0)</f>
        <v>0</v>
      </c>
      <c r="W53" s="46">
        <f t="shared" ref="W53:W76" si="29">IF(T53&gt;K53,K53,T53)</f>
        <v>0</v>
      </c>
      <c r="X53" s="103">
        <f t="shared" ref="X53:X76" si="30">V53*1000/C53</f>
        <v>0</v>
      </c>
      <c r="Y53" s="46">
        <f>X53*Inputs!$B$8</f>
        <v>0</v>
      </c>
      <c r="Z53" s="170">
        <f>Y53+D53</f>
        <v>255</v>
      </c>
      <c r="AA53" s="104">
        <f>IF(AND(Z53&gt;=255,C53&lt;=Inputs!$B$7,V53&gt;0),(($AN$22-$AN$21)/($AM$22-$AM$21)*(Z53-$AM$21)+$AN$21)*T53,0)</f>
        <v>0</v>
      </c>
      <c r="AB53" s="104">
        <f t="shared" ref="AB53:AB76" si="31">T53-AA53</f>
        <v>0</v>
      </c>
      <c r="AC53" s="46">
        <f t="shared" ref="AC53:AC76" si="32">IF(AB53&gt;K53,0,K53-AB53)</f>
        <v>0.22278260869565217</v>
      </c>
      <c r="AD53" s="46">
        <f>IF(AB53&gt;K53,MIN((AB53-K53),5),0)</f>
        <v>0</v>
      </c>
      <c r="AE53" s="46">
        <f t="shared" ref="AE53:AE76" si="33">IF(AB53&gt;K53,K53,AB53)</f>
        <v>0</v>
      </c>
      <c r="AF53" s="103">
        <f>IF(S53&gt;0,(((R53/O53)*S53)*Inputs!$B$12)+((Q53/O53)*S53)*Inputs!$B$23,0)</f>
        <v>0</v>
      </c>
      <c r="AG53" s="103">
        <f>IF(AA53&gt;0,(((W53/T53)*AA53)*Inputs!$B$12)+((V53/T53)*AA53)*Inputs!$B$23,0)</f>
        <v>0</v>
      </c>
      <c r="AH53" s="331">
        <f>IF(AB53&gt;0,((J53*Inputs!$B$18*Inputs!$B$42/$C$48)-O53),0)</f>
        <v>0</v>
      </c>
      <c r="AI53" s="331">
        <f>IFERROR(((R53/O53)*AH53)*((Inputs!$B$12)+(((Q53/O53)*AH53)*Inputs!$B$23)),0)</f>
        <v>0</v>
      </c>
    </row>
    <row r="54" spans="2:39" ht="14.25" customHeight="1">
      <c r="B54" s="134">
        <v>4.1666666666666664E-2</v>
      </c>
      <c r="C54" s="124">
        <f>Profiles!E33</f>
        <v>255</v>
      </c>
      <c r="D54" s="133">
        <f t="shared" ref="D54:D76" si="34">C54</f>
        <v>255</v>
      </c>
      <c r="E54" s="127">
        <v>0</v>
      </c>
      <c r="F54" s="127">
        <v>0</v>
      </c>
      <c r="G54" s="127">
        <v>0</v>
      </c>
      <c r="H54" s="127">
        <v>0</v>
      </c>
      <c r="I54" s="45">
        <f>Profiles!I7</f>
        <v>0.01</v>
      </c>
      <c r="J54" s="45">
        <f>Profiles!F33</f>
        <v>0</v>
      </c>
      <c r="K54" s="46">
        <f>Inputs!$B$9*Inputs!$A$42/$C$48*I54</f>
        <v>0.22278260869565217</v>
      </c>
      <c r="L54" s="46">
        <f t="shared" ref="L54:L76" si="35">IF(D54=C54,1,0)</f>
        <v>1</v>
      </c>
      <c r="M54" s="114">
        <f>IF(Inputs!$B$26="Yes",VLOOKUP(D54,VWR[#All],2,FALSE),1)</f>
        <v>0.73333333333333339</v>
      </c>
      <c r="N54" s="114">
        <f>IF(Inputs!$B$27="Yes",VLOOKUP(D54,VVR[#All],2,FALSE),0)</f>
        <v>0.1</v>
      </c>
      <c r="O54" s="46">
        <f>(J54*Inputs!$B$18*Inputs!$B$42/$C$48)*M54</f>
        <v>0</v>
      </c>
      <c r="P54" s="46">
        <f t="shared" ref="P54:P76" si="36">IF(O54&gt;K54,0,K54-O54)</f>
        <v>0.22278260869565217</v>
      </c>
      <c r="Q54" s="46">
        <f t="shared" ref="Q54:Q76" si="37">IF(O54&gt;K54,MIN((O54-K54),5),0)</f>
        <v>0</v>
      </c>
      <c r="R54" s="46">
        <f t="shared" ref="R54:R76" si="38">IF(O54&gt;K54,K54,O54)</f>
        <v>0</v>
      </c>
      <c r="S54" s="103">
        <f t="shared" ref="S54:S76" si="39">IF(D54&gt;255,O54,0)</f>
        <v>0</v>
      </c>
      <c r="T54" s="46">
        <f t="shared" ref="T54:T76" si="40">O54-S54</f>
        <v>0</v>
      </c>
      <c r="U54" s="46">
        <f t="shared" si="28"/>
        <v>0.22278260869565217</v>
      </c>
      <c r="V54" s="46">
        <f t="shared" ref="V54:V76" si="41">IF(T54&gt;K54,MIN((T54-K54),5),0)</f>
        <v>0</v>
      </c>
      <c r="W54" s="46">
        <f t="shared" si="29"/>
        <v>0</v>
      </c>
      <c r="X54" s="103">
        <f t="shared" si="30"/>
        <v>0</v>
      </c>
      <c r="Y54" s="46">
        <f>X54*Inputs!$B$8</f>
        <v>0</v>
      </c>
      <c r="Z54" s="170">
        <f t="shared" ref="Z54:Z76" si="42">Y54+D54</f>
        <v>255</v>
      </c>
      <c r="AA54" s="104">
        <f>IF(AND(Z54&gt;=255,C54&lt;=Inputs!$B$7,V54&gt;0),(($AN$22-$AN$21)/($AM$22-$AM$21)*(Z54-$AM$21)+$AN$21)*O54,0)</f>
        <v>0</v>
      </c>
      <c r="AB54" s="104">
        <f t="shared" si="31"/>
        <v>0</v>
      </c>
      <c r="AC54" s="46">
        <f t="shared" si="32"/>
        <v>0.22278260869565217</v>
      </c>
      <c r="AD54" s="46">
        <f t="shared" ref="AD54:AD76" si="43">IF(AB54&gt;K54,MIN((AB54-K54),5),0)</f>
        <v>0</v>
      </c>
      <c r="AE54" s="46">
        <f t="shared" si="33"/>
        <v>0</v>
      </c>
      <c r="AF54" s="103">
        <f>IF(S54&gt;0,(((R54/O54)*S54)*Inputs!$B$12)+((Q54/O54)*S54)*Inputs!$B$23,0)</f>
        <v>0</v>
      </c>
      <c r="AG54" s="103">
        <f>IF(AA54&gt;0,(((W54/T54)*AA54)*Inputs!$B$12)+((V54/T54)*AA54)*Inputs!$B$23,0)</f>
        <v>0</v>
      </c>
      <c r="AH54" s="331">
        <f>IF(AB54&gt;0,((J54*Inputs!$B$18*Inputs!$B$42/$C$48)-O54),0)</f>
        <v>0</v>
      </c>
      <c r="AI54" s="331">
        <f>IFERROR(((R54/O54)*AH54)*((Inputs!$B$12)+(((Q54/O54)*AH54)*Inputs!$B$23)),0)</f>
        <v>0</v>
      </c>
    </row>
    <row r="55" spans="2:39" ht="14.25" customHeight="1">
      <c r="B55" s="134">
        <v>8.3333333333333329E-2</v>
      </c>
      <c r="C55" s="125">
        <f>Profiles!E34</f>
        <v>255</v>
      </c>
      <c r="D55" s="133">
        <f t="shared" si="34"/>
        <v>255</v>
      </c>
      <c r="E55" s="127">
        <v>0</v>
      </c>
      <c r="F55" s="127">
        <v>0</v>
      </c>
      <c r="G55" s="127">
        <v>0</v>
      </c>
      <c r="H55" s="127">
        <v>0</v>
      </c>
      <c r="I55" s="45">
        <f>Profiles!I8</f>
        <v>0.01</v>
      </c>
      <c r="J55" s="45">
        <f>Profiles!F34</f>
        <v>0</v>
      </c>
      <c r="K55" s="46">
        <f>Inputs!$B$9*Inputs!$A$42/$C$48*I55</f>
        <v>0.22278260869565217</v>
      </c>
      <c r="L55" s="46">
        <f t="shared" si="35"/>
        <v>1</v>
      </c>
      <c r="M55" s="114">
        <f>IF(Inputs!$B$26="Yes",VLOOKUP(D55,VWR[#All],2,FALSE),1)</f>
        <v>0.73333333333333339</v>
      </c>
      <c r="N55" s="114">
        <f>IF(Inputs!$B$27="Yes",VLOOKUP(D55,VVR[#All],2,FALSE),0)</f>
        <v>0.1</v>
      </c>
      <c r="O55" s="46">
        <f>(J55*Inputs!$B$18*Inputs!$B$42/$C$48)*M55</f>
        <v>0</v>
      </c>
      <c r="P55" s="46">
        <f t="shared" si="36"/>
        <v>0.22278260869565217</v>
      </c>
      <c r="Q55" s="46">
        <f t="shared" si="37"/>
        <v>0</v>
      </c>
      <c r="R55" s="46">
        <f t="shared" si="38"/>
        <v>0</v>
      </c>
      <c r="S55" s="103">
        <f t="shared" si="39"/>
        <v>0</v>
      </c>
      <c r="T55" s="46">
        <f t="shared" si="40"/>
        <v>0</v>
      </c>
      <c r="U55" s="46">
        <f t="shared" si="28"/>
        <v>0.22278260869565217</v>
      </c>
      <c r="V55" s="46">
        <f t="shared" si="41"/>
        <v>0</v>
      </c>
      <c r="W55" s="46">
        <f t="shared" si="29"/>
        <v>0</v>
      </c>
      <c r="X55" s="103">
        <f t="shared" si="30"/>
        <v>0</v>
      </c>
      <c r="Y55" s="46">
        <f>X55*Inputs!$B$8</f>
        <v>0</v>
      </c>
      <c r="Z55" s="170">
        <f t="shared" si="42"/>
        <v>255</v>
      </c>
      <c r="AA55" s="104">
        <f>IF(AND(Z55&gt;=255,C55&lt;=Inputs!$B$7,V55&gt;0),(($AN$22-$AN$21)/($AM$22-$AM$21)*(Z55-$AM$21)+$AN$21)*O55,0)</f>
        <v>0</v>
      </c>
      <c r="AB55" s="104">
        <f t="shared" si="31"/>
        <v>0</v>
      </c>
      <c r="AC55" s="46">
        <f t="shared" si="32"/>
        <v>0.22278260869565217</v>
      </c>
      <c r="AD55" s="46">
        <f t="shared" si="43"/>
        <v>0</v>
      </c>
      <c r="AE55" s="46">
        <f t="shared" si="33"/>
        <v>0</v>
      </c>
      <c r="AF55" s="103">
        <f>IF(S55&gt;0,(((R55/O55)*S55)*Inputs!$B$12)+((Q55/O55)*S55)*Inputs!$B$23,0)</f>
        <v>0</v>
      </c>
      <c r="AG55" s="103">
        <f>IF(AA55&gt;0,(((W55/T55)*AA55)*Inputs!$B$12)+((V55/T55)*AA55)*Inputs!$B$23,0)</f>
        <v>0</v>
      </c>
      <c r="AH55" s="331">
        <f>IF(AB55&gt;0,((J55*Inputs!$B$18*Inputs!$B$42/$C$48)-O55),0)</f>
        <v>0</v>
      </c>
      <c r="AI55" s="331">
        <f>IFERROR(((R55/O55)*AH55)*((Inputs!$B$12)+(((Q55/O55)*AH55)*Inputs!$B$23)),0)</f>
        <v>0</v>
      </c>
    </row>
    <row r="56" spans="2:39" ht="14.25" customHeight="1">
      <c r="B56" s="134">
        <v>0.125</v>
      </c>
      <c r="C56" s="125">
        <f>Profiles!E35</f>
        <v>255</v>
      </c>
      <c r="D56" s="133">
        <f t="shared" si="34"/>
        <v>255</v>
      </c>
      <c r="E56" s="127">
        <v>0</v>
      </c>
      <c r="F56" s="127">
        <v>0</v>
      </c>
      <c r="G56" s="127">
        <v>0</v>
      </c>
      <c r="H56" s="127">
        <v>0</v>
      </c>
      <c r="I56" s="45">
        <f>Profiles!I9</f>
        <v>0.01</v>
      </c>
      <c r="J56" s="45">
        <f>Profiles!F35</f>
        <v>0</v>
      </c>
      <c r="K56" s="46">
        <f>Inputs!$B$9*Inputs!$A$42/$C$48*I56</f>
        <v>0.22278260869565217</v>
      </c>
      <c r="L56" s="46">
        <f t="shared" si="35"/>
        <v>1</v>
      </c>
      <c r="M56" s="114">
        <f>IF(Inputs!$B$26="Yes",VLOOKUP(D56,VWR[#All],2,FALSE),1)</f>
        <v>0.73333333333333339</v>
      </c>
      <c r="N56" s="114">
        <f>IF(Inputs!$B$27="Yes",VLOOKUP(D56,VVR[#All],2,FALSE),0)</f>
        <v>0.1</v>
      </c>
      <c r="O56" s="46">
        <f>(J56*Inputs!$B$18*Inputs!$B$42/$C$48)*M56</f>
        <v>0</v>
      </c>
      <c r="P56" s="46">
        <f t="shared" si="36"/>
        <v>0.22278260869565217</v>
      </c>
      <c r="Q56" s="46">
        <f t="shared" si="37"/>
        <v>0</v>
      </c>
      <c r="R56" s="46">
        <f t="shared" si="38"/>
        <v>0</v>
      </c>
      <c r="S56" s="103">
        <f t="shared" si="39"/>
        <v>0</v>
      </c>
      <c r="T56" s="46">
        <f t="shared" si="40"/>
        <v>0</v>
      </c>
      <c r="U56" s="46">
        <f t="shared" si="28"/>
        <v>0.22278260869565217</v>
      </c>
      <c r="V56" s="46">
        <f t="shared" si="41"/>
        <v>0</v>
      </c>
      <c r="W56" s="46">
        <f t="shared" si="29"/>
        <v>0</v>
      </c>
      <c r="X56" s="103">
        <f t="shared" si="30"/>
        <v>0</v>
      </c>
      <c r="Y56" s="46">
        <f>X56*Inputs!$B$8</f>
        <v>0</v>
      </c>
      <c r="Z56" s="170">
        <f t="shared" si="42"/>
        <v>255</v>
      </c>
      <c r="AA56" s="104">
        <f>IF(AND(Z56&gt;=255,C56&lt;=Inputs!$B$7,V56&gt;0),(($AN$22-$AN$21)/($AM$22-$AM$21)*(Z56-$AM$21)+$AN$21)*O56,0)</f>
        <v>0</v>
      </c>
      <c r="AB56" s="104">
        <f t="shared" si="31"/>
        <v>0</v>
      </c>
      <c r="AC56" s="46">
        <f t="shared" si="32"/>
        <v>0.22278260869565217</v>
      </c>
      <c r="AD56" s="46">
        <f t="shared" si="43"/>
        <v>0</v>
      </c>
      <c r="AE56" s="46">
        <f t="shared" si="33"/>
        <v>0</v>
      </c>
      <c r="AF56" s="103">
        <f>IF(S56&gt;0,(((R56/O56)*S56)*Inputs!$B$12)+((Q56/O56)*S56)*Inputs!$B$23,0)</f>
        <v>0</v>
      </c>
      <c r="AG56" s="103">
        <f>IF(AA56&gt;0,(((W56/T56)*AA56)*Inputs!$B$12)+((V56/T56)*AA56)*Inputs!$B$23,0)</f>
        <v>0</v>
      </c>
      <c r="AH56" s="331">
        <f>IF(AB56&gt;0,((J56*Inputs!$B$18*Inputs!$B$42/$C$48)-O56),0)</f>
        <v>0</v>
      </c>
      <c r="AI56" s="331">
        <f>IFERROR(((R56/O56)*AH56)*((Inputs!$B$12)+(((Q56/O56)*AH56)*Inputs!$B$23)),0)</f>
        <v>0</v>
      </c>
      <c r="AJ56" s="47"/>
      <c r="AK56" s="47"/>
    </row>
    <row r="57" spans="2:39" ht="14.25" customHeight="1">
      <c r="B57" s="134">
        <v>0.16666666666666699</v>
      </c>
      <c r="C57" s="125">
        <f>Profiles!E36</f>
        <v>255</v>
      </c>
      <c r="D57" s="133">
        <f t="shared" si="34"/>
        <v>255</v>
      </c>
      <c r="E57" s="127">
        <v>0</v>
      </c>
      <c r="F57" s="127">
        <v>0</v>
      </c>
      <c r="G57" s="127">
        <v>0</v>
      </c>
      <c r="H57" s="127">
        <v>0</v>
      </c>
      <c r="I57" s="45">
        <f>Profiles!I10</f>
        <v>0.01</v>
      </c>
      <c r="J57" s="45">
        <f>Profiles!F36</f>
        <v>0</v>
      </c>
      <c r="K57" s="46">
        <f>Inputs!$B$9*Inputs!$A$42/$C$48*I57</f>
        <v>0.22278260869565217</v>
      </c>
      <c r="L57" s="46">
        <f t="shared" si="35"/>
        <v>1</v>
      </c>
      <c r="M57" s="114">
        <f>IF(Inputs!$B$26="Yes",VLOOKUP(D57,VWR[#All],2,FALSE),1)</f>
        <v>0.73333333333333339</v>
      </c>
      <c r="N57" s="114">
        <f>IF(Inputs!$B$27="Yes",VLOOKUP(D57,VVR[#All],2,FALSE),0)</f>
        <v>0.1</v>
      </c>
      <c r="O57" s="46">
        <f>(J57*Inputs!$B$18*Inputs!$B$42/$C$48)*M57</f>
        <v>0</v>
      </c>
      <c r="P57" s="46">
        <f t="shared" si="36"/>
        <v>0.22278260869565217</v>
      </c>
      <c r="Q57" s="46">
        <f t="shared" si="37"/>
        <v>0</v>
      </c>
      <c r="R57" s="46">
        <f t="shared" si="38"/>
        <v>0</v>
      </c>
      <c r="S57" s="103">
        <f t="shared" si="39"/>
        <v>0</v>
      </c>
      <c r="T57" s="46">
        <f t="shared" si="40"/>
        <v>0</v>
      </c>
      <c r="U57" s="46">
        <f t="shared" si="28"/>
        <v>0.22278260869565217</v>
      </c>
      <c r="V57" s="46">
        <f t="shared" si="41"/>
        <v>0</v>
      </c>
      <c r="W57" s="46">
        <f t="shared" si="29"/>
        <v>0</v>
      </c>
      <c r="X57" s="103">
        <f t="shared" si="30"/>
        <v>0</v>
      </c>
      <c r="Y57" s="46">
        <f>X57*Inputs!$B$8</f>
        <v>0</v>
      </c>
      <c r="Z57" s="170">
        <f t="shared" si="42"/>
        <v>255</v>
      </c>
      <c r="AA57" s="104">
        <f>IF(AND(Z57&gt;=255,C57&lt;=Inputs!$B$7,V57&gt;0),(($AN$22-$AN$21)/($AM$22-$AM$21)*(Z57-$AM$21)+$AN$21)*O57,0)</f>
        <v>0</v>
      </c>
      <c r="AB57" s="104">
        <f t="shared" si="31"/>
        <v>0</v>
      </c>
      <c r="AC57" s="46">
        <f t="shared" si="32"/>
        <v>0.22278260869565217</v>
      </c>
      <c r="AD57" s="46">
        <f t="shared" si="43"/>
        <v>0</v>
      </c>
      <c r="AE57" s="46">
        <f t="shared" si="33"/>
        <v>0</v>
      </c>
      <c r="AF57" s="103">
        <f>IF(S57&gt;0,(((R57/O57)*S57)*Inputs!$B$12)+((Q57/O57)*S57)*Inputs!$B$23,0)</f>
        <v>0</v>
      </c>
      <c r="AG57" s="103">
        <f>IF(AA57&gt;0,(((W57/T57)*AA57)*Inputs!$B$12)+((V57/T57)*AA57)*Inputs!$B$23,0)</f>
        <v>0</v>
      </c>
      <c r="AH57" s="331">
        <f>IF(AB57&gt;0,((J57*Inputs!$B$18*Inputs!$B$42/$C$48)-O57),0)</f>
        <v>0</v>
      </c>
      <c r="AI57" s="331">
        <f>IFERROR(((R57/O57)*AH57)*((Inputs!$B$12)+(((Q57/O57)*AH57)*Inputs!$B$23)),0)</f>
        <v>0</v>
      </c>
      <c r="AJ57" s="47"/>
      <c r="AK57" s="47"/>
    </row>
    <row r="58" spans="2:39" ht="14.25" customHeight="1">
      <c r="B58" s="134">
        <v>0.20833333333333301</v>
      </c>
      <c r="C58" s="125">
        <f>Profiles!E37</f>
        <v>253</v>
      </c>
      <c r="D58" s="133">
        <f t="shared" si="34"/>
        <v>253</v>
      </c>
      <c r="E58" s="127">
        <v>0</v>
      </c>
      <c r="F58" s="127">
        <v>0</v>
      </c>
      <c r="G58" s="127">
        <v>0</v>
      </c>
      <c r="H58" s="127">
        <v>0</v>
      </c>
      <c r="I58" s="45">
        <f>Profiles!I11</f>
        <v>0.01</v>
      </c>
      <c r="J58" s="45">
        <f>Profiles!F37</f>
        <v>0</v>
      </c>
      <c r="K58" s="46">
        <f>Inputs!$B$9*Inputs!$A$42/$C$48*I58</f>
        <v>0.22278260869565217</v>
      </c>
      <c r="L58" s="46">
        <f t="shared" si="35"/>
        <v>1</v>
      </c>
      <c r="M58" s="114">
        <f>IF(Inputs!$B$26="Yes",VLOOKUP(D58,VWR[#All],2,FALSE),1)</f>
        <v>0.84</v>
      </c>
      <c r="N58" s="114">
        <f>IF(Inputs!$B$27="Yes",VLOOKUP(D58,VVR[#All],2,FALSE),0)</f>
        <v>0.06</v>
      </c>
      <c r="O58" s="46">
        <f>(J58*Inputs!$B$18*Inputs!$B$42/$C$48)*M58</f>
        <v>0</v>
      </c>
      <c r="P58" s="46">
        <f t="shared" si="36"/>
        <v>0.22278260869565217</v>
      </c>
      <c r="Q58" s="46">
        <f t="shared" si="37"/>
        <v>0</v>
      </c>
      <c r="R58" s="46">
        <f t="shared" si="38"/>
        <v>0</v>
      </c>
      <c r="S58" s="103">
        <f t="shared" si="39"/>
        <v>0</v>
      </c>
      <c r="T58" s="46">
        <f t="shared" si="40"/>
        <v>0</v>
      </c>
      <c r="U58" s="46">
        <f t="shared" si="28"/>
        <v>0.22278260869565217</v>
      </c>
      <c r="V58" s="46">
        <f t="shared" si="41"/>
        <v>0</v>
      </c>
      <c r="W58" s="46">
        <f t="shared" si="29"/>
        <v>0</v>
      </c>
      <c r="X58" s="103">
        <f t="shared" si="30"/>
        <v>0</v>
      </c>
      <c r="Y58" s="46">
        <f>X58*Inputs!$B$8</f>
        <v>0</v>
      </c>
      <c r="Z58" s="170">
        <f t="shared" si="42"/>
        <v>253</v>
      </c>
      <c r="AA58" s="104">
        <f>IF(AND(Z58&gt;=255,C58&lt;=Inputs!$B$7,V58&gt;0),(($AN$22-$AN$21)/($AM$22-$AM$21)*(Z58-$AM$21)+$AN$21)*O58,0)</f>
        <v>0</v>
      </c>
      <c r="AB58" s="104">
        <f t="shared" si="31"/>
        <v>0</v>
      </c>
      <c r="AC58" s="46">
        <f t="shared" si="32"/>
        <v>0.22278260869565217</v>
      </c>
      <c r="AD58" s="46">
        <f t="shared" si="43"/>
        <v>0</v>
      </c>
      <c r="AE58" s="46">
        <f t="shared" si="33"/>
        <v>0</v>
      </c>
      <c r="AF58" s="103">
        <f>IF(S58&gt;0,(((R58/O58)*S58)*Inputs!$B$12)+((Q58/O58)*S58)*Inputs!$B$23,0)</f>
        <v>0</v>
      </c>
      <c r="AG58" s="103">
        <f>IF(AA58&gt;0,(((W58/T58)*AA58)*Inputs!$B$12)+((V58/T58)*AA58)*Inputs!$B$23,0)</f>
        <v>0</v>
      </c>
      <c r="AH58" s="331">
        <f>IF(AB58&gt;0,((J58*Inputs!$B$18*Inputs!$B$42/$C$48)-O58),0)</f>
        <v>0</v>
      </c>
      <c r="AI58" s="331">
        <f>IFERROR(((R58/O58)*AH58)*((Inputs!$B$12)+(((Q58/O58)*AH58)*Inputs!$B$23)),0)</f>
        <v>0</v>
      </c>
      <c r="AJ58" s="47"/>
      <c r="AK58" s="47"/>
    </row>
    <row r="59" spans="2:39" ht="14.25" customHeight="1">
      <c r="B59" s="134">
        <v>0.25</v>
      </c>
      <c r="C59" s="125">
        <f>Profiles!E38</f>
        <v>254</v>
      </c>
      <c r="D59" s="133">
        <f t="shared" si="34"/>
        <v>254</v>
      </c>
      <c r="E59" s="127">
        <v>0</v>
      </c>
      <c r="F59" s="127">
        <v>0</v>
      </c>
      <c r="G59" s="127">
        <v>0</v>
      </c>
      <c r="H59" s="127">
        <v>0</v>
      </c>
      <c r="I59" s="45">
        <f>Profiles!I12</f>
        <v>0.1</v>
      </c>
      <c r="J59" s="45">
        <f>Profiles!F38</f>
        <v>0</v>
      </c>
      <c r="K59" s="46">
        <f>Inputs!$B$9*Inputs!$A$42/$C$48*I59</f>
        <v>2.2278260869565218</v>
      </c>
      <c r="L59" s="46">
        <f t="shared" si="35"/>
        <v>1</v>
      </c>
      <c r="M59" s="114">
        <f>IF(Inputs!$B$26="Yes",VLOOKUP(D59,VWR[#All],2,FALSE),1)</f>
        <v>0.78666666666666663</v>
      </c>
      <c r="N59" s="114">
        <f>IF(Inputs!$B$27="Yes",VLOOKUP(D59,VVR[#All],2,FALSE),0)</f>
        <v>0.08</v>
      </c>
      <c r="O59" s="46">
        <f>(J59*Inputs!$B$18*Inputs!$B$42/$C$48)*M59</f>
        <v>0</v>
      </c>
      <c r="P59" s="46">
        <f t="shared" si="36"/>
        <v>2.2278260869565218</v>
      </c>
      <c r="Q59" s="46">
        <f t="shared" si="37"/>
        <v>0</v>
      </c>
      <c r="R59" s="46">
        <f t="shared" si="38"/>
        <v>0</v>
      </c>
      <c r="S59" s="103">
        <f t="shared" si="39"/>
        <v>0</v>
      </c>
      <c r="T59" s="46">
        <f t="shared" si="40"/>
        <v>0</v>
      </c>
      <c r="U59" s="46">
        <f t="shared" si="28"/>
        <v>2.2278260869565218</v>
      </c>
      <c r="V59" s="46">
        <f t="shared" si="41"/>
        <v>0</v>
      </c>
      <c r="W59" s="46">
        <f t="shared" si="29"/>
        <v>0</v>
      </c>
      <c r="X59" s="103">
        <f t="shared" si="30"/>
        <v>0</v>
      </c>
      <c r="Y59" s="46">
        <f>X59*Inputs!$B$8</f>
        <v>0</v>
      </c>
      <c r="Z59" s="170">
        <f t="shared" si="42"/>
        <v>254</v>
      </c>
      <c r="AA59" s="104">
        <f>IF(AND(Z59&gt;=255,C59&lt;=Inputs!$B$7,V59&gt;0),(($AN$22-$AN$21)/($AM$22-$AM$21)*(Z59-$AM$21)+$AN$21)*O59,0)</f>
        <v>0</v>
      </c>
      <c r="AB59" s="104">
        <f t="shared" si="31"/>
        <v>0</v>
      </c>
      <c r="AC59" s="46">
        <f t="shared" si="32"/>
        <v>2.2278260869565218</v>
      </c>
      <c r="AD59" s="46">
        <f t="shared" si="43"/>
        <v>0</v>
      </c>
      <c r="AE59" s="46">
        <f t="shared" si="33"/>
        <v>0</v>
      </c>
      <c r="AF59" s="103">
        <f>IF(S59&gt;0,(((R59/O59)*S59)*Inputs!$B$12)+((Q59/O59)*S59)*Inputs!$B$23,0)</f>
        <v>0</v>
      </c>
      <c r="AG59" s="103">
        <f>IF(AA59&gt;0,(((W59/T59)*AA59)*Inputs!$B$12)+((V59/T59)*AA59)*Inputs!$B$23,0)</f>
        <v>0</v>
      </c>
      <c r="AH59" s="331">
        <f>IF(AB59&gt;0,((J59*Inputs!$B$18*Inputs!$B$42/$C$48)-O59),0)</f>
        <v>0</v>
      </c>
      <c r="AI59" s="331">
        <f>IFERROR(((R59/O59)*AH59)*((Inputs!$B$12)+(((Q59/O59)*AH59)*Inputs!$B$23)),0)</f>
        <v>0</v>
      </c>
      <c r="AJ59" s="47"/>
      <c r="AK59" s="47"/>
    </row>
    <row r="60" spans="2:39" ht="14.25" customHeight="1">
      <c r="B60" s="134">
        <v>0.29166666666666702</v>
      </c>
      <c r="C60" s="125">
        <f>Profiles!E39</f>
        <v>255</v>
      </c>
      <c r="D60" s="133">
        <f t="shared" si="34"/>
        <v>255</v>
      </c>
      <c r="E60" s="127">
        <v>0</v>
      </c>
      <c r="F60" s="127">
        <v>0</v>
      </c>
      <c r="G60" s="127">
        <v>0</v>
      </c>
      <c r="H60" s="127">
        <v>0</v>
      </c>
      <c r="I60" s="45">
        <f>Profiles!I13</f>
        <v>0.12</v>
      </c>
      <c r="J60" s="45">
        <f>Profiles!F39</f>
        <v>0.02</v>
      </c>
      <c r="K60" s="46">
        <f>Inputs!$B$9*Inputs!$A$42/$C$48*I60</f>
        <v>2.6733913043478257</v>
      </c>
      <c r="L60" s="46">
        <f t="shared" si="35"/>
        <v>1</v>
      </c>
      <c r="M60" s="114">
        <f>IF(Inputs!$B$26="Yes",VLOOKUP(D60,VWR[#All],2,FALSE),1)</f>
        <v>0.73333333333333339</v>
      </c>
      <c r="N60" s="114">
        <f>IF(Inputs!$B$27="Yes",VLOOKUP(D60,VVR[#All],2,FALSE),0)</f>
        <v>0.1</v>
      </c>
      <c r="O60" s="46">
        <f>(J60*Inputs!$B$18*Inputs!$B$42/$C$48)*M60</f>
        <v>0.31853826970310684</v>
      </c>
      <c r="P60" s="46">
        <f t="shared" si="36"/>
        <v>2.354853034644719</v>
      </c>
      <c r="Q60" s="46">
        <f t="shared" si="37"/>
        <v>0</v>
      </c>
      <c r="R60" s="46">
        <f t="shared" si="38"/>
        <v>0.31853826970310684</v>
      </c>
      <c r="S60" s="103">
        <f t="shared" si="39"/>
        <v>0</v>
      </c>
      <c r="T60" s="46">
        <f t="shared" si="40"/>
        <v>0.31853826970310684</v>
      </c>
      <c r="U60" s="46">
        <f t="shared" si="28"/>
        <v>2.354853034644719</v>
      </c>
      <c r="V60" s="46">
        <f t="shared" si="41"/>
        <v>0</v>
      </c>
      <c r="W60" s="46">
        <f t="shared" si="29"/>
        <v>0.31853826970310684</v>
      </c>
      <c r="X60" s="103">
        <f t="shared" si="30"/>
        <v>0</v>
      </c>
      <c r="Y60" s="46">
        <f>X60*Inputs!$B$8</f>
        <v>0</v>
      </c>
      <c r="Z60" s="170">
        <f t="shared" si="42"/>
        <v>255</v>
      </c>
      <c r="AA60" s="104">
        <f>IF(AND(Z60&gt;=255,C60&lt;=Inputs!$B$7,V60&gt;0),(($AN$22-$AN$21)/($AM$22-$AM$21)*(Z60-$AM$21)+$AN$21)*O60,0)</f>
        <v>0</v>
      </c>
      <c r="AB60" s="104">
        <f t="shared" si="31"/>
        <v>0.31853826970310684</v>
      </c>
      <c r="AC60" s="46">
        <f t="shared" si="32"/>
        <v>2.354853034644719</v>
      </c>
      <c r="AD60" s="46">
        <f t="shared" si="43"/>
        <v>0</v>
      </c>
      <c r="AE60" s="46">
        <f t="shared" si="33"/>
        <v>0.31853826970310684</v>
      </c>
      <c r="AF60" s="103">
        <f>IF(S60&gt;0,(((R60/O60)*S60)*Inputs!$B$12)+((Q60/O60)*S60)*Inputs!$B$23,0)</f>
        <v>0</v>
      </c>
      <c r="AG60" s="103">
        <f>IF(AA60&gt;0,(((W60/T60)*AA60)*Inputs!$B$12)+((V60/T60)*AA60)*Inputs!$B$23,0)</f>
        <v>0</v>
      </c>
      <c r="AH60" s="331">
        <f>IF(AB60&gt;0,((J60*Inputs!$B$18*Inputs!$B$42/$C$48)-O60),0)</f>
        <v>0.11583209807385703</v>
      </c>
      <c r="AI60" s="331">
        <f>IFERROR(((R60/O60)*AH60)*((Inputs!$B$12)+(((Q60/O60)*AH60)*Inputs!$B$23)),0)</f>
        <v>2.7799703537725685E-2</v>
      </c>
      <c r="AJ60" s="47"/>
      <c r="AK60" s="47"/>
    </row>
    <row r="61" spans="2:39" ht="14.25" customHeight="1">
      <c r="B61" s="134">
        <v>0.33333333333333298</v>
      </c>
      <c r="C61" s="125">
        <f>Profiles!E40</f>
        <v>255</v>
      </c>
      <c r="D61" s="133">
        <f t="shared" si="34"/>
        <v>255</v>
      </c>
      <c r="E61" s="127">
        <v>0</v>
      </c>
      <c r="F61" s="127">
        <v>0</v>
      </c>
      <c r="G61" s="127">
        <v>0</v>
      </c>
      <c r="H61" s="127">
        <v>0</v>
      </c>
      <c r="I61" s="45">
        <f>Profiles!I14</f>
        <v>0.03</v>
      </c>
      <c r="J61" s="45">
        <f>Profiles!F40</f>
        <v>4.4999999999999998E-2</v>
      </c>
      <c r="K61" s="46">
        <f>Inputs!$B$9*Inputs!$A$42/$C$48*I61</f>
        <v>0.66834782608695642</v>
      </c>
      <c r="L61" s="46">
        <f t="shared" si="35"/>
        <v>1</v>
      </c>
      <c r="M61" s="114">
        <f>IF(Inputs!$B$26="Yes",VLOOKUP(D61,VWR[#All],2,FALSE),1)</f>
        <v>0.73333333333333339</v>
      </c>
      <c r="N61" s="114">
        <f>IF(Inputs!$B$27="Yes",VLOOKUP(D61,VVR[#All],2,FALSE),0)</f>
        <v>0.1</v>
      </c>
      <c r="O61" s="46">
        <f>(J61*Inputs!$B$18*Inputs!$B$42/$C$48)*M61</f>
        <v>0.71671110683199046</v>
      </c>
      <c r="P61" s="46">
        <f t="shared" si="36"/>
        <v>0</v>
      </c>
      <c r="Q61" s="46">
        <f t="shared" si="37"/>
        <v>4.8363280745034043E-2</v>
      </c>
      <c r="R61" s="46">
        <f t="shared" si="38"/>
        <v>0.66834782608695642</v>
      </c>
      <c r="S61" s="103">
        <f t="shared" si="39"/>
        <v>0</v>
      </c>
      <c r="T61" s="46">
        <f t="shared" si="40"/>
        <v>0.71671110683199046</v>
      </c>
      <c r="U61" s="46">
        <f t="shared" si="28"/>
        <v>0</v>
      </c>
      <c r="V61" s="46">
        <f t="shared" si="41"/>
        <v>4.8363280745034043E-2</v>
      </c>
      <c r="W61" s="46">
        <f t="shared" si="29"/>
        <v>0.66834782608695642</v>
      </c>
      <c r="X61" s="103">
        <f t="shared" si="30"/>
        <v>0.18965992449032959</v>
      </c>
      <c r="Y61" s="46">
        <f>X61*Inputs!$B$8</f>
        <v>7.2070771306325249E-2</v>
      </c>
      <c r="Z61" s="170">
        <f t="shared" si="42"/>
        <v>255.07207077130633</v>
      </c>
      <c r="AA61" s="104">
        <f>IF(AND(Z61&gt;=255,C61&lt;=Inputs!$B$7,V61&gt;0),(($AN$22-$AN$21)/($AM$22-$AM$21)*(Z61-$AM$21)+$AN$21)*O61,0)</f>
        <v>0.1246172433659845</v>
      </c>
      <c r="AB61" s="104">
        <f t="shared" si="31"/>
        <v>0.59209386346600601</v>
      </c>
      <c r="AC61" s="46">
        <f t="shared" si="32"/>
        <v>7.6253962620950411E-2</v>
      </c>
      <c r="AD61" s="46">
        <f>IF(AB61&gt;K61,MIN((AB61-K61),5),0)</f>
        <v>0</v>
      </c>
      <c r="AE61" s="46">
        <f t="shared" si="33"/>
        <v>0.59209386346600601</v>
      </c>
      <c r="AF61" s="103">
        <f>IF(S61&gt;0,(((R61/O61)*S61)*Inputs!$B$12)+((Q61/O61)*S61)*Inputs!$B$23,0)</f>
        <v>0</v>
      </c>
      <c r="AG61" s="103">
        <f>IF(AA61&gt;0,(((W61/T61)*AA61)*Inputs!$B$12)+((V61/T61)*AA61)*Inputs!$B$23,0)</f>
        <v>2.8899045845581207E-2</v>
      </c>
      <c r="AH61" s="331">
        <f>IF(AB61&gt;0,((J61*Inputs!$B$18*Inputs!$B$42/$C$48)-O61),0)</f>
        <v>0.26062222066617824</v>
      </c>
      <c r="AI61" s="331">
        <f>IFERROR(((R61/O61)*AH61)*((Inputs!$B$12)+(((Q61/O61)*AH61)*Inputs!$B$23)),0)</f>
        <v>5.8841439265216032E-2</v>
      </c>
      <c r="AJ61" s="47"/>
      <c r="AK61" s="47"/>
    </row>
    <row r="62" spans="2:39" ht="14.25" customHeight="1">
      <c r="B62" s="134">
        <v>0.375</v>
      </c>
      <c r="C62" s="125">
        <f>Profiles!E41</f>
        <v>253</v>
      </c>
      <c r="D62" s="133">
        <f t="shared" si="34"/>
        <v>253</v>
      </c>
      <c r="E62" s="127">
        <v>0</v>
      </c>
      <c r="F62" s="127">
        <v>0</v>
      </c>
      <c r="G62" s="127">
        <v>0</v>
      </c>
      <c r="H62" s="127">
        <v>0</v>
      </c>
      <c r="I62" s="45">
        <f>Profiles!I15</f>
        <v>0.02</v>
      </c>
      <c r="J62" s="45">
        <f>Profiles!F41</f>
        <v>0.08</v>
      </c>
      <c r="K62" s="46">
        <f>Inputs!$B$9*Inputs!$A$42/$C$48*I62</f>
        <v>0.44556521739130434</v>
      </c>
      <c r="L62" s="46">
        <f t="shared" si="35"/>
        <v>1</v>
      </c>
      <c r="M62" s="114">
        <f>IF(Inputs!$B$26="Yes",VLOOKUP(D62,VWR[#All],2,FALSE),1)</f>
        <v>0.84</v>
      </c>
      <c r="N62" s="114">
        <f>IF(Inputs!$B$27="Yes",VLOOKUP(D62,VVR[#All],2,FALSE),0)</f>
        <v>0.06</v>
      </c>
      <c r="O62" s="46">
        <f>(J62*Inputs!$B$18*Inputs!$B$42/$C$48)*M62</f>
        <v>1.4594844357305985</v>
      </c>
      <c r="P62" s="46">
        <f t="shared" si="36"/>
        <v>0</v>
      </c>
      <c r="Q62" s="46">
        <f t="shared" si="37"/>
        <v>1.0139192183392942</v>
      </c>
      <c r="R62" s="46">
        <f t="shared" si="38"/>
        <v>0.44556521739130434</v>
      </c>
      <c r="S62" s="103">
        <f t="shared" si="39"/>
        <v>0</v>
      </c>
      <c r="T62" s="46">
        <f t="shared" si="40"/>
        <v>1.4594844357305985</v>
      </c>
      <c r="U62" s="46">
        <f t="shared" si="28"/>
        <v>0</v>
      </c>
      <c r="V62" s="46">
        <f t="shared" si="41"/>
        <v>1.0139192183392942</v>
      </c>
      <c r="W62" s="46">
        <f t="shared" si="29"/>
        <v>0.44556521739130434</v>
      </c>
      <c r="X62" s="103">
        <f t="shared" si="30"/>
        <v>4.0075858432383171</v>
      </c>
      <c r="Y62" s="46">
        <f>X62*Inputs!$B$8</f>
        <v>1.5228826204305606</v>
      </c>
      <c r="Z62" s="170">
        <f t="shared" si="42"/>
        <v>254.52288262043055</v>
      </c>
      <c r="AA62" s="104">
        <f>IF(AND(Z62&gt;=255,C62&lt;=Inputs!$B$7,V62&gt;0),(($AN$22-$AN$21)/($AM$22-$AM$21)*(Z62-$AM$21)+$AN$21)*O62,0)</f>
        <v>0</v>
      </c>
      <c r="AB62" s="104">
        <f t="shared" si="31"/>
        <v>1.4594844357305985</v>
      </c>
      <c r="AC62" s="46">
        <f t="shared" si="32"/>
        <v>0</v>
      </c>
      <c r="AD62" s="46">
        <f t="shared" si="43"/>
        <v>1.0139192183392942</v>
      </c>
      <c r="AE62" s="46">
        <f t="shared" si="33"/>
        <v>0.44556521739130434</v>
      </c>
      <c r="AF62" s="103">
        <f>IF(S62&gt;0,(((R62/O62)*S62)*Inputs!$B$12)+((Q62/O62)*S62)*Inputs!$B$23,0)</f>
        <v>0</v>
      </c>
      <c r="AG62" s="103">
        <f>IF(AA62&gt;0,(((W62/T62)*AA62)*Inputs!$B$12)+((V62/T62)*AA62)*Inputs!$B$23,0)</f>
        <v>0</v>
      </c>
      <c r="AH62" s="331">
        <f>IF(AB62&gt;0,((J62*Inputs!$B$18*Inputs!$B$42/$C$48)-O62),0)</f>
        <v>0.27799703537725695</v>
      </c>
      <c r="AI62" s="331">
        <f>IFERROR(((R62/O62)*AH62)*((Inputs!$B$12)+(((Q62/O62)*AH62)*Inputs!$B$23)),0)</f>
        <v>2.2335572983054219E-2</v>
      </c>
      <c r="AJ62" s="47"/>
      <c r="AK62" s="47"/>
    </row>
    <row r="63" spans="2:39" ht="14.25" customHeight="1">
      <c r="B63" s="134">
        <v>0.41666666666666702</v>
      </c>
      <c r="C63" s="125">
        <f>Profiles!E42</f>
        <v>256</v>
      </c>
      <c r="D63" s="133">
        <f t="shared" si="34"/>
        <v>256</v>
      </c>
      <c r="E63" s="127">
        <v>0</v>
      </c>
      <c r="F63" s="127">
        <v>0</v>
      </c>
      <c r="G63" s="127">
        <v>0</v>
      </c>
      <c r="H63" s="127">
        <v>0</v>
      </c>
      <c r="I63" s="45">
        <f>Profiles!I16</f>
        <v>0.02</v>
      </c>
      <c r="J63" s="45">
        <f>Profiles!F42</f>
        <v>0.11</v>
      </c>
      <c r="K63" s="46">
        <f>Inputs!$B$9*Inputs!$A$42/$C$48*I63</f>
        <v>0.44556521739130434</v>
      </c>
      <c r="L63" s="46">
        <f t="shared" si="35"/>
        <v>1</v>
      </c>
      <c r="M63" s="114">
        <f>IF(Inputs!$B$26="Yes",VLOOKUP(D63,VWR[#All],2,FALSE),1)</f>
        <v>0.67999999999999994</v>
      </c>
      <c r="N63" s="114">
        <f>IF(Inputs!$B$27="Yes",VLOOKUP(D63,VVR[#All],2,FALSE),0)</f>
        <v>0.12</v>
      </c>
      <c r="O63" s="46">
        <f>(J63*Inputs!$B$18*Inputs!$B$42/$C$48)*M63</f>
        <v>1.6245451754858449</v>
      </c>
      <c r="P63" s="46">
        <f t="shared" si="36"/>
        <v>0</v>
      </c>
      <c r="Q63" s="46">
        <f t="shared" si="37"/>
        <v>1.1789799580945406</v>
      </c>
      <c r="R63" s="46">
        <f t="shared" si="38"/>
        <v>0.44556521739130434</v>
      </c>
      <c r="S63" s="103">
        <f t="shared" si="39"/>
        <v>1.6245451754858449</v>
      </c>
      <c r="T63" s="46">
        <f t="shared" si="40"/>
        <v>0</v>
      </c>
      <c r="U63" s="46">
        <f t="shared" si="28"/>
        <v>0.44556521739130434</v>
      </c>
      <c r="V63" s="46">
        <f t="shared" si="41"/>
        <v>0</v>
      </c>
      <c r="W63" s="46">
        <f t="shared" si="29"/>
        <v>0</v>
      </c>
      <c r="X63" s="103">
        <f t="shared" si="30"/>
        <v>0</v>
      </c>
      <c r="Y63" s="46">
        <f>X63*Inputs!$B$8</f>
        <v>0</v>
      </c>
      <c r="Z63" s="170">
        <f t="shared" si="42"/>
        <v>256</v>
      </c>
      <c r="AA63" s="104">
        <f>IF(AND(Z63&gt;=255,C63&lt;=Inputs!$B$7,V63&gt;0),(($AN$22-$AN$21)/($AM$22-$AM$21)*(Z63-$AM$21)+$AN$21)*O63,0)</f>
        <v>0</v>
      </c>
      <c r="AB63" s="104">
        <f t="shared" si="31"/>
        <v>0</v>
      </c>
      <c r="AC63" s="46">
        <f t="shared" si="32"/>
        <v>0.44556521739130434</v>
      </c>
      <c r="AD63" s="46">
        <f>IF(AB63&gt;K63,MIN((AB63-K63),5),0)</f>
        <v>0</v>
      </c>
      <c r="AE63" s="46">
        <f t="shared" si="33"/>
        <v>0</v>
      </c>
      <c r="AF63" s="103">
        <f>IF(S63&gt;0,(((R63/O63)*S63)*Inputs!$B$12)+((Q63/O63)*S63)*Inputs!$B$23,0)</f>
        <v>0.24841324714525792</v>
      </c>
      <c r="AG63" s="103">
        <f>IF(AA63&gt;0,(((W63/T63)*AA63)*Inputs!$B$12)+((V63/T63)*AA63)*Inputs!$B$23,0)</f>
        <v>0</v>
      </c>
      <c r="AH63" s="331">
        <f>IF(AB63&gt;0,((J63*Inputs!$B$18*Inputs!$B$42/$C$48)-O63),0)</f>
        <v>0</v>
      </c>
      <c r="AI63" s="331">
        <f>IFERROR(((R63/O63)*AH63)*((Inputs!$B$12)+(((Q63/O63)*AH63)*Inputs!$B$23)),0)</f>
        <v>0</v>
      </c>
      <c r="AJ63" s="47"/>
      <c r="AK63" s="47"/>
    </row>
    <row r="64" spans="2:39" ht="14.25" customHeight="1">
      <c r="B64" s="134">
        <v>0.45833333333333298</v>
      </c>
      <c r="C64" s="125">
        <f>Profiles!E43</f>
        <v>257</v>
      </c>
      <c r="D64" s="133">
        <f t="shared" si="34"/>
        <v>257</v>
      </c>
      <c r="E64" s="127">
        <v>0</v>
      </c>
      <c r="F64" s="127">
        <v>0</v>
      </c>
      <c r="G64" s="127">
        <v>0</v>
      </c>
      <c r="H64" s="127">
        <v>0</v>
      </c>
      <c r="I64" s="45">
        <f>Profiles!I17</f>
        <v>0.02</v>
      </c>
      <c r="J64" s="45">
        <f>Profiles!F43</f>
        <v>0.12</v>
      </c>
      <c r="K64" s="46">
        <f>Inputs!$B$9*Inputs!$A$42/$C$48*I64</f>
        <v>0.44556521739130434</v>
      </c>
      <c r="L64" s="46">
        <f t="shared" si="35"/>
        <v>1</v>
      </c>
      <c r="M64" s="114">
        <f>IF(Inputs!$B$26="Yes",VLOOKUP(D64,VWR[#All],2,FALSE),1)</f>
        <v>0.62666666666666671</v>
      </c>
      <c r="N64" s="114">
        <f>IF(Inputs!$B$27="Yes",VLOOKUP(D64,VVR[#All],2,FALSE),0)</f>
        <v>0.14000000000000001</v>
      </c>
      <c r="O64" s="46">
        <f>(J64*Inputs!$B$18*Inputs!$B$42/$C$48)*M64</f>
        <v>1.6332325828413841</v>
      </c>
      <c r="P64" s="46">
        <f t="shared" si="36"/>
        <v>0</v>
      </c>
      <c r="Q64" s="46">
        <f t="shared" si="37"/>
        <v>1.1876673654500798</v>
      </c>
      <c r="R64" s="46">
        <f t="shared" si="38"/>
        <v>0.44556521739130434</v>
      </c>
      <c r="S64" s="103">
        <f t="shared" si="39"/>
        <v>1.6332325828413841</v>
      </c>
      <c r="T64" s="46">
        <f t="shared" si="40"/>
        <v>0</v>
      </c>
      <c r="U64" s="46">
        <f t="shared" si="28"/>
        <v>0.44556521739130434</v>
      </c>
      <c r="V64" s="46">
        <f t="shared" si="41"/>
        <v>0</v>
      </c>
      <c r="W64" s="46">
        <f t="shared" si="29"/>
        <v>0</v>
      </c>
      <c r="X64" s="103">
        <f t="shared" si="30"/>
        <v>0</v>
      </c>
      <c r="Y64" s="46">
        <f>X64*Inputs!$B$8</f>
        <v>0</v>
      </c>
      <c r="Z64" s="170">
        <f t="shared" si="42"/>
        <v>257</v>
      </c>
      <c r="AA64" s="104">
        <f>IF(AND(Z64&gt;=255,C64&lt;=Inputs!$B$7,V64&gt;0),(($AN$22-$AN$21)/($AM$22-$AM$21)*(Z64-$AM$21)+$AN$21)*O64,0)</f>
        <v>0</v>
      </c>
      <c r="AB64" s="104">
        <f t="shared" si="31"/>
        <v>0</v>
      </c>
      <c r="AC64" s="46">
        <f t="shared" si="32"/>
        <v>0.44556521739130434</v>
      </c>
      <c r="AD64" s="46">
        <f t="shared" si="43"/>
        <v>0</v>
      </c>
      <c r="AE64" s="46">
        <f t="shared" si="33"/>
        <v>0</v>
      </c>
      <c r="AF64" s="103">
        <f>IF(S64&gt;0,(((R64/O64)*S64)*Inputs!$B$12)+((Q64/O64)*S64)*Inputs!$B$23,0)</f>
        <v>0.24945573602792262</v>
      </c>
      <c r="AG64" s="103">
        <f>IF(AA64&gt;0,(((W64/T64)*AA64)*Inputs!$B$12)+((V64/T64)*AA64)*Inputs!$B$23,0)</f>
        <v>0</v>
      </c>
      <c r="AH64" s="331">
        <f>IF(AB64&gt;0,((J64*Inputs!$B$18*Inputs!$B$42/$C$48)-O64),0)</f>
        <v>0</v>
      </c>
      <c r="AI64" s="331">
        <f>IFERROR(((R64/O64)*AH64)*((Inputs!$B$12)+(((Q64/O64)*AH64)*Inputs!$B$23)),0)</f>
        <v>0</v>
      </c>
      <c r="AJ64" s="47"/>
      <c r="AK64" s="47"/>
    </row>
    <row r="65" spans="2:37" ht="14.25" customHeight="1">
      <c r="B65" s="134">
        <v>0.5</v>
      </c>
      <c r="C65" s="125">
        <f>Profiles!E44</f>
        <v>257</v>
      </c>
      <c r="D65" s="133">
        <f t="shared" si="34"/>
        <v>257</v>
      </c>
      <c r="E65" s="127">
        <v>0</v>
      </c>
      <c r="F65" s="127">
        <v>0</v>
      </c>
      <c r="G65" s="127">
        <v>0</v>
      </c>
      <c r="H65" s="127">
        <v>0</v>
      </c>
      <c r="I65" s="45">
        <f>Profiles!I18</f>
        <v>0.02</v>
      </c>
      <c r="J65" s="45">
        <f>Profiles!F44</f>
        <v>0.125</v>
      </c>
      <c r="K65" s="46">
        <f>Inputs!$B$9*Inputs!$A$42/$C$48*I65</f>
        <v>0.44556521739130434</v>
      </c>
      <c r="L65" s="46">
        <f t="shared" si="35"/>
        <v>1</v>
      </c>
      <c r="M65" s="114">
        <f>IF(Inputs!$B$26="Yes",VLOOKUP(D65,VWR[#All],2,FALSE),1)</f>
        <v>0.62666666666666671</v>
      </c>
      <c r="N65" s="114">
        <f>IF(Inputs!$B$27="Yes",VLOOKUP(D65,VVR[#All],2,FALSE),0)</f>
        <v>0.14000000000000001</v>
      </c>
      <c r="O65" s="46">
        <f>(J65*Inputs!$B$18*Inputs!$B$42/$C$48)*M65</f>
        <v>1.7012839404597753</v>
      </c>
      <c r="P65" s="46">
        <f t="shared" si="36"/>
        <v>0</v>
      </c>
      <c r="Q65" s="46">
        <f t="shared" si="37"/>
        <v>1.255718723068471</v>
      </c>
      <c r="R65" s="46">
        <f t="shared" si="38"/>
        <v>0.44556521739130434</v>
      </c>
      <c r="S65" s="103">
        <f t="shared" si="39"/>
        <v>1.7012839404597753</v>
      </c>
      <c r="T65" s="46">
        <f t="shared" si="40"/>
        <v>0</v>
      </c>
      <c r="U65" s="46">
        <f t="shared" si="28"/>
        <v>0.44556521739130434</v>
      </c>
      <c r="V65" s="46">
        <f t="shared" si="41"/>
        <v>0</v>
      </c>
      <c r="W65" s="46">
        <f t="shared" si="29"/>
        <v>0</v>
      </c>
      <c r="X65" s="103">
        <f t="shared" si="30"/>
        <v>0</v>
      </c>
      <c r="Y65" s="46">
        <f>X65*Inputs!$B$8</f>
        <v>0</v>
      </c>
      <c r="Z65" s="170">
        <f t="shared" si="42"/>
        <v>257</v>
      </c>
      <c r="AA65" s="104">
        <f>IF(AND(Z65&gt;=255,C65&lt;=Inputs!$B$7,V65&gt;0),(($AN$22-$AN$21)/($AM$22-$AM$21)*(Z65-$AM$21)+$AN$21)*O65,0)</f>
        <v>0</v>
      </c>
      <c r="AB65" s="104">
        <f t="shared" si="31"/>
        <v>0</v>
      </c>
      <c r="AC65" s="46">
        <f t="shared" si="32"/>
        <v>0.44556521739130434</v>
      </c>
      <c r="AD65" s="46">
        <f t="shared" si="43"/>
        <v>0</v>
      </c>
      <c r="AE65" s="46">
        <f t="shared" si="33"/>
        <v>0</v>
      </c>
      <c r="AF65" s="103">
        <f>IF(S65&gt;0,(((R65/O65)*S65)*Inputs!$B$12)+((Q65/O65)*S65)*Inputs!$B$23,0)</f>
        <v>0.25762189894212956</v>
      </c>
      <c r="AG65" s="103">
        <f>IF(AA65&gt;0,(((W65/T65)*AA65)*Inputs!$B$12)+((V65/T65)*AA65)*Inputs!$B$23,0)</f>
        <v>0</v>
      </c>
      <c r="AH65" s="331">
        <f>IF(AB65&gt;0,((J65*Inputs!$B$18*Inputs!$B$42/$C$48)-O65),0)</f>
        <v>0</v>
      </c>
      <c r="AI65" s="331">
        <f>IFERROR(((R65/O65)*AH65)*((Inputs!$B$12)+(((Q65/O65)*AH65)*Inputs!$B$23)),0)</f>
        <v>0</v>
      </c>
      <c r="AJ65" s="47"/>
      <c r="AK65" s="47"/>
    </row>
    <row r="66" spans="2:37" ht="14.25" customHeight="1">
      <c r="B66" s="134">
        <v>0.54166666666666696</v>
      </c>
      <c r="C66" s="125">
        <f>Profiles!E45</f>
        <v>257</v>
      </c>
      <c r="D66" s="133">
        <f t="shared" si="34"/>
        <v>257</v>
      </c>
      <c r="E66" s="127">
        <v>0</v>
      </c>
      <c r="F66" s="127">
        <v>0</v>
      </c>
      <c r="G66" s="127">
        <v>0</v>
      </c>
      <c r="H66" s="127">
        <v>0</v>
      </c>
      <c r="I66" s="45">
        <f>Profiles!I19</f>
        <v>0.02</v>
      </c>
      <c r="J66" s="45">
        <f>Profiles!F45</f>
        <v>0.125</v>
      </c>
      <c r="K66" s="46">
        <f>Inputs!$B$9*Inputs!$A$42/$C$48*I66</f>
        <v>0.44556521739130434</v>
      </c>
      <c r="L66" s="46">
        <f t="shared" si="35"/>
        <v>1</v>
      </c>
      <c r="M66" s="114">
        <f>IF(Inputs!$B$26="Yes",VLOOKUP(D66,VWR[#All],2,FALSE),1)</f>
        <v>0.62666666666666671</v>
      </c>
      <c r="N66" s="114">
        <f>IF(Inputs!$B$27="Yes",VLOOKUP(D66,VVR[#All],2,FALSE),0)</f>
        <v>0.14000000000000001</v>
      </c>
      <c r="O66" s="46">
        <f>(J66*Inputs!$B$18*Inputs!$B$42/$C$48)*M66</f>
        <v>1.7012839404597753</v>
      </c>
      <c r="P66" s="46">
        <f t="shared" si="36"/>
        <v>0</v>
      </c>
      <c r="Q66" s="46">
        <f t="shared" si="37"/>
        <v>1.255718723068471</v>
      </c>
      <c r="R66" s="46">
        <f t="shared" si="38"/>
        <v>0.44556521739130434</v>
      </c>
      <c r="S66" s="103">
        <f t="shared" si="39"/>
        <v>1.7012839404597753</v>
      </c>
      <c r="T66" s="46">
        <f t="shared" si="40"/>
        <v>0</v>
      </c>
      <c r="U66" s="46">
        <f t="shared" si="28"/>
        <v>0.44556521739130434</v>
      </c>
      <c r="V66" s="46">
        <f t="shared" si="41"/>
        <v>0</v>
      </c>
      <c r="W66" s="46">
        <f t="shared" si="29"/>
        <v>0</v>
      </c>
      <c r="X66" s="103">
        <f t="shared" si="30"/>
        <v>0</v>
      </c>
      <c r="Y66" s="46">
        <f>X66*Inputs!$B$8</f>
        <v>0</v>
      </c>
      <c r="Z66" s="170">
        <f t="shared" si="42"/>
        <v>257</v>
      </c>
      <c r="AA66" s="104">
        <f>IF(AND(Z66&gt;=255,C66&lt;=Inputs!$B$7,V66&gt;0),(($AN$22-$AN$21)/($AM$22-$AM$21)*(Z66-$AM$21)+$AN$21)*O66,0)</f>
        <v>0</v>
      </c>
      <c r="AB66" s="104">
        <f t="shared" si="31"/>
        <v>0</v>
      </c>
      <c r="AC66" s="46">
        <f t="shared" si="32"/>
        <v>0.44556521739130434</v>
      </c>
      <c r="AD66" s="46">
        <f t="shared" si="43"/>
        <v>0</v>
      </c>
      <c r="AE66" s="46">
        <f t="shared" si="33"/>
        <v>0</v>
      </c>
      <c r="AF66" s="103">
        <f>IF(S66&gt;0,(((R66/O66)*S66)*Inputs!$B$12)+((Q66/O66)*S66)*Inputs!$B$23,0)</f>
        <v>0.25762189894212956</v>
      </c>
      <c r="AG66" s="103">
        <f>IF(AA66&gt;0,(((W66/T66)*AA66)*Inputs!$B$12)+((V66/T66)*AA66)*Inputs!$B$23,0)</f>
        <v>0</v>
      </c>
      <c r="AH66" s="331">
        <f>IF(AB66&gt;0,((J66*Inputs!$B$18*Inputs!$B$42/$C$48)-O66),0)</f>
        <v>0</v>
      </c>
      <c r="AI66" s="331">
        <f>IFERROR(((R66/O66)*AH66)*((Inputs!$B$12)+(((Q66/O66)*AH66)*Inputs!$B$23)),0)</f>
        <v>0</v>
      </c>
      <c r="AJ66" s="47"/>
      <c r="AK66" s="47"/>
    </row>
    <row r="67" spans="2:37" ht="14.25" customHeight="1">
      <c r="B67" s="134">
        <v>0.58333333333333304</v>
      </c>
      <c r="C67" s="125">
        <f>Profiles!E46</f>
        <v>256</v>
      </c>
      <c r="D67" s="133">
        <f t="shared" si="34"/>
        <v>256</v>
      </c>
      <c r="E67" s="127">
        <v>0</v>
      </c>
      <c r="F67" s="127">
        <v>0</v>
      </c>
      <c r="G67" s="127">
        <v>0</v>
      </c>
      <c r="H67" s="127">
        <v>0</v>
      </c>
      <c r="I67" s="45">
        <f>Profiles!I20</f>
        <v>0.02</v>
      </c>
      <c r="J67" s="45">
        <f>Profiles!F46</f>
        <v>0.12</v>
      </c>
      <c r="K67" s="46">
        <f>Inputs!$B$9*Inputs!$A$42/$C$48*I67</f>
        <v>0.44556521739130434</v>
      </c>
      <c r="L67" s="46">
        <f t="shared" si="35"/>
        <v>1</v>
      </c>
      <c r="M67" s="114">
        <f>IF(Inputs!$B$26="Yes",VLOOKUP(D67,VWR[#All],2,FALSE),1)</f>
        <v>0.67999999999999994</v>
      </c>
      <c r="N67" s="114">
        <f>IF(Inputs!$B$27="Yes",VLOOKUP(D67,VVR[#All],2,FALSE),0)</f>
        <v>0.12</v>
      </c>
      <c r="O67" s="46">
        <f>(J67*Inputs!$B$18*Inputs!$B$42/$C$48)*M67</f>
        <v>1.7722311005300124</v>
      </c>
      <c r="P67" s="46">
        <f t="shared" si="36"/>
        <v>0</v>
      </c>
      <c r="Q67" s="46">
        <f t="shared" si="37"/>
        <v>1.3266658831387081</v>
      </c>
      <c r="R67" s="46">
        <f t="shared" si="38"/>
        <v>0.44556521739130434</v>
      </c>
      <c r="S67" s="103">
        <f t="shared" si="39"/>
        <v>1.7722311005300124</v>
      </c>
      <c r="T67" s="46">
        <f t="shared" si="40"/>
        <v>0</v>
      </c>
      <c r="U67" s="46">
        <f t="shared" si="28"/>
        <v>0.44556521739130434</v>
      </c>
      <c r="V67" s="46">
        <f t="shared" si="41"/>
        <v>0</v>
      </c>
      <c r="W67" s="46">
        <f t="shared" si="29"/>
        <v>0</v>
      </c>
      <c r="X67" s="103">
        <f t="shared" si="30"/>
        <v>0</v>
      </c>
      <c r="Y67" s="46">
        <f>X67*Inputs!$B$8</f>
        <v>0</v>
      </c>
      <c r="Z67" s="170">
        <f t="shared" si="42"/>
        <v>256</v>
      </c>
      <c r="AA67" s="104">
        <f>IF(AND(Z67&gt;=255,C67&lt;=Inputs!$B$7,V67&gt;0),(($AN$22-$AN$21)/($AM$22-$AM$21)*(Z67-$AM$21)+$AN$21)*O67,0)</f>
        <v>0</v>
      </c>
      <c r="AB67" s="104">
        <f t="shared" si="31"/>
        <v>0</v>
      </c>
      <c r="AC67" s="46">
        <f t="shared" si="32"/>
        <v>0.44556521739130434</v>
      </c>
      <c r="AD67" s="46">
        <f t="shared" si="43"/>
        <v>0</v>
      </c>
      <c r="AE67" s="46">
        <f t="shared" si="33"/>
        <v>0</v>
      </c>
      <c r="AF67" s="103">
        <f>IF(S67&gt;0,(((R67/O67)*S67)*Inputs!$B$12)+((Q67/O67)*S67)*Inputs!$B$23,0)</f>
        <v>0.266135558150558</v>
      </c>
      <c r="AG67" s="103">
        <f>IF(AA67&gt;0,(((W67/T67)*AA67)*Inputs!$B$12)+((V67/T67)*AA67)*Inputs!$B$23,0)</f>
        <v>0</v>
      </c>
      <c r="AH67" s="331">
        <f>IF(AB67&gt;0,((J67*Inputs!$B$18*Inputs!$B$42/$C$48)-O67),0)</f>
        <v>0</v>
      </c>
      <c r="AI67" s="331">
        <f>IFERROR(((R67/O67)*AH67)*((Inputs!$B$12)+(((Q67/O67)*AH67)*Inputs!$B$23)),0)</f>
        <v>0</v>
      </c>
      <c r="AJ67" s="47"/>
      <c r="AK67" s="47"/>
    </row>
    <row r="68" spans="2:37" ht="14.25" customHeight="1">
      <c r="B68" s="134">
        <v>0.625</v>
      </c>
      <c r="C68" s="125">
        <f>Profiles!E47</f>
        <v>256</v>
      </c>
      <c r="D68" s="133">
        <f t="shared" si="34"/>
        <v>256</v>
      </c>
      <c r="E68" s="127">
        <v>0</v>
      </c>
      <c r="F68" s="127">
        <v>0</v>
      </c>
      <c r="G68" s="127">
        <v>0</v>
      </c>
      <c r="H68" s="127">
        <v>0</v>
      </c>
      <c r="I68" s="45">
        <f>Profiles!I21</f>
        <v>0.02</v>
      </c>
      <c r="J68" s="45">
        <f>Profiles!F47</f>
        <v>0.11</v>
      </c>
      <c r="K68" s="46">
        <f>Inputs!$B$9*Inputs!$A$42/$C$48*I68</f>
        <v>0.44556521739130434</v>
      </c>
      <c r="L68" s="46">
        <f t="shared" si="35"/>
        <v>1</v>
      </c>
      <c r="M68" s="114">
        <f>IF(Inputs!$B$26="Yes",VLOOKUP(D68,VWR[#All],2,FALSE),1)</f>
        <v>0.67999999999999994</v>
      </c>
      <c r="N68" s="114">
        <f>IF(Inputs!$B$27="Yes",VLOOKUP(D68,VVR[#All],2,FALSE),0)</f>
        <v>0.12</v>
      </c>
      <c r="O68" s="46">
        <f>(J68*Inputs!$B$18*Inputs!$B$42/$C$48)*M68</f>
        <v>1.6245451754858449</v>
      </c>
      <c r="P68" s="46">
        <f t="shared" si="36"/>
        <v>0</v>
      </c>
      <c r="Q68" s="46">
        <f t="shared" si="37"/>
        <v>1.1789799580945406</v>
      </c>
      <c r="R68" s="46">
        <f t="shared" si="38"/>
        <v>0.44556521739130434</v>
      </c>
      <c r="S68" s="103">
        <f t="shared" si="39"/>
        <v>1.6245451754858449</v>
      </c>
      <c r="T68" s="46">
        <f t="shared" si="40"/>
        <v>0</v>
      </c>
      <c r="U68" s="46">
        <f t="shared" si="28"/>
        <v>0.44556521739130434</v>
      </c>
      <c r="V68" s="46">
        <f t="shared" si="41"/>
        <v>0</v>
      </c>
      <c r="W68" s="46">
        <f t="shared" si="29"/>
        <v>0</v>
      </c>
      <c r="X68" s="103">
        <f t="shared" si="30"/>
        <v>0</v>
      </c>
      <c r="Y68" s="46">
        <f>X68*Inputs!$B$8</f>
        <v>0</v>
      </c>
      <c r="Z68" s="170">
        <f t="shared" si="42"/>
        <v>256</v>
      </c>
      <c r="AA68" s="104">
        <f>IF(AND(Z68&gt;=255,C68&lt;=Inputs!$B$7,V68&gt;0),(($AN$22-$AN$21)/($AM$22-$AM$21)*(Z68-$AM$21)+$AN$21)*O68,0)</f>
        <v>0</v>
      </c>
      <c r="AB68" s="104">
        <f t="shared" si="31"/>
        <v>0</v>
      </c>
      <c r="AC68" s="46">
        <f t="shared" si="32"/>
        <v>0.44556521739130434</v>
      </c>
      <c r="AD68" s="46">
        <f t="shared" si="43"/>
        <v>0</v>
      </c>
      <c r="AE68" s="46">
        <f t="shared" si="33"/>
        <v>0</v>
      </c>
      <c r="AF68" s="103">
        <f>IF(S68&gt;0,(((R68/O68)*S68)*Inputs!$B$12)+((Q68/O68)*S68)*Inputs!$B$23,0)</f>
        <v>0.24841324714525792</v>
      </c>
      <c r="AG68" s="103">
        <f>IF(AA68&gt;0,(((W68/T68)*AA68)*Inputs!$B$12)+((V68/T68)*AA68)*Inputs!$B$23,0)</f>
        <v>0</v>
      </c>
      <c r="AH68" s="331">
        <f>IF(AB68&gt;0,((J68*Inputs!$B$18*Inputs!$B$42/$C$48)-O68),0)</f>
        <v>0</v>
      </c>
      <c r="AI68" s="331">
        <f>IFERROR(((R68/O68)*AH68)*((Inputs!$B$12)+(((Q68/O68)*AH68)*Inputs!$B$23)),0)</f>
        <v>0</v>
      </c>
      <c r="AJ68" s="47"/>
      <c r="AK68" s="47"/>
    </row>
    <row r="69" spans="2:37" ht="14.25" customHeight="1">
      <c r="B69" s="134">
        <v>0.66666666666666696</v>
      </c>
      <c r="C69" s="125">
        <f>Profiles!E48</f>
        <v>255</v>
      </c>
      <c r="D69" s="133">
        <f t="shared" si="34"/>
        <v>255</v>
      </c>
      <c r="E69" s="127">
        <v>0</v>
      </c>
      <c r="F69" s="127">
        <v>0</v>
      </c>
      <c r="G69" s="127">
        <v>0</v>
      </c>
      <c r="H69" s="127">
        <v>0</v>
      </c>
      <c r="I69" s="45">
        <f>Profiles!I22</f>
        <v>0.05</v>
      </c>
      <c r="J69" s="45">
        <f>Profiles!F48</f>
        <v>0.08</v>
      </c>
      <c r="K69" s="46">
        <f>Inputs!$B$9*Inputs!$A$42/$C$48*I69</f>
        <v>1.1139130434782609</v>
      </c>
      <c r="L69" s="46">
        <f t="shared" si="35"/>
        <v>1</v>
      </c>
      <c r="M69" s="114">
        <f>IF(Inputs!$B$26="Yes",VLOOKUP(D69,VWR[#All],2,FALSE),1)</f>
        <v>0.73333333333333339</v>
      </c>
      <c r="N69" s="114">
        <f>IF(Inputs!$B$27="Yes",VLOOKUP(D69,VVR[#All],2,FALSE),0)</f>
        <v>0.1</v>
      </c>
      <c r="O69" s="46">
        <f>(J69*Inputs!$B$18*Inputs!$B$42/$C$48)*M69</f>
        <v>1.2741530788124273</v>
      </c>
      <c r="P69" s="46">
        <f t="shared" si="36"/>
        <v>0</v>
      </c>
      <c r="Q69" s="46">
        <f t="shared" si="37"/>
        <v>0.16024003533416642</v>
      </c>
      <c r="R69" s="46">
        <f t="shared" si="38"/>
        <v>1.1139130434782609</v>
      </c>
      <c r="S69" s="103">
        <f t="shared" si="39"/>
        <v>0</v>
      </c>
      <c r="T69" s="46">
        <f t="shared" si="40"/>
        <v>1.2741530788124273</v>
      </c>
      <c r="U69" s="46">
        <f t="shared" si="28"/>
        <v>0</v>
      </c>
      <c r="V69" s="46">
        <f t="shared" si="41"/>
        <v>0.16024003533416642</v>
      </c>
      <c r="W69" s="46">
        <f t="shared" si="29"/>
        <v>1.1139130434782609</v>
      </c>
      <c r="X69" s="103">
        <f t="shared" si="30"/>
        <v>0.6283922954281036</v>
      </c>
      <c r="Y69" s="46">
        <f>X69*Inputs!$B$8</f>
        <v>0.23878907226267937</v>
      </c>
      <c r="Z69" s="170">
        <f t="shared" si="42"/>
        <v>255.23878907226268</v>
      </c>
      <c r="AA69" s="104">
        <f>IF(AND(Z69&gt;=255,C69&lt;=Inputs!$B$7,V69&gt;0),(($AN$22-$AN$21)/($AM$22-$AM$21)*(Z69-$AM$21)+$AN$21)*O69,0)</f>
        <v>0.24278422962976312</v>
      </c>
      <c r="AB69" s="104">
        <f t="shared" si="31"/>
        <v>1.0313688491826642</v>
      </c>
      <c r="AC69" s="46">
        <f t="shared" si="32"/>
        <v>8.2544194295596673E-2</v>
      </c>
      <c r="AD69" s="46">
        <f t="shared" si="43"/>
        <v>0</v>
      </c>
      <c r="AE69" s="46">
        <f t="shared" si="33"/>
        <v>1.0313688491826642</v>
      </c>
      <c r="AF69" s="103">
        <f>IF(S69&gt;0,(((R69/O69)*S69)*Inputs!$B$12)+((Q69/O69)*S69)*Inputs!$B$23,0)</f>
        <v>0</v>
      </c>
      <c r="AG69" s="103">
        <f>IF(AA69&gt;0,(((W69/T69)*AA69)*Inputs!$B$12)+((V69/T69)*AA69)*Inputs!$B$23,0)</f>
        <v>5.4604251571938406E-2</v>
      </c>
      <c r="AH69" s="331">
        <f>IF(AB69&gt;0,((J69*Inputs!$B$18*Inputs!$B$42/$C$48)-O69),0)</f>
        <v>0.4633283922954281</v>
      </c>
      <c r="AI69" s="331">
        <f>IFERROR(((R69/O69)*AH69)*((Inputs!$B$12)+(((Q69/O69)*AH69)*Inputs!$B$23)),0)</f>
        <v>0.10004652225443829</v>
      </c>
      <c r="AJ69" s="47"/>
      <c r="AK69" s="47"/>
    </row>
    <row r="70" spans="2:37" ht="14.25" customHeight="1">
      <c r="B70" s="134">
        <v>0.70833333333333304</v>
      </c>
      <c r="C70" s="125">
        <f>Profiles!E49</f>
        <v>254</v>
      </c>
      <c r="D70" s="133">
        <f t="shared" si="34"/>
        <v>254</v>
      </c>
      <c r="E70" s="127">
        <v>0</v>
      </c>
      <c r="F70" s="127">
        <v>0</v>
      </c>
      <c r="G70" s="127">
        <v>0</v>
      </c>
      <c r="H70" s="127">
        <v>0</v>
      </c>
      <c r="I70" s="45">
        <f>Profiles!I23</f>
        <v>0.08</v>
      </c>
      <c r="J70" s="45">
        <f>Profiles!F49</f>
        <v>4.4999999999999998E-2</v>
      </c>
      <c r="K70" s="46">
        <f>Inputs!$B$9*Inputs!$A$42/$C$48*I70</f>
        <v>1.7822608695652173</v>
      </c>
      <c r="L70" s="46">
        <f t="shared" si="35"/>
        <v>1</v>
      </c>
      <c r="M70" s="114">
        <f>IF(Inputs!$B$26="Yes",VLOOKUP(D70,VWR[#All],2,FALSE),1)</f>
        <v>0.78666666666666663</v>
      </c>
      <c r="N70" s="114">
        <f>IF(Inputs!$B$27="Yes",VLOOKUP(D70,VVR[#All],2,FALSE),0)</f>
        <v>0.08</v>
      </c>
      <c r="O70" s="46">
        <f>(J70*Inputs!$B$18*Inputs!$B$42/$C$48)*M70</f>
        <v>0.76883555096522604</v>
      </c>
      <c r="P70" s="46">
        <f t="shared" si="36"/>
        <v>1.0134253185999913</v>
      </c>
      <c r="Q70" s="46">
        <f t="shared" si="37"/>
        <v>0</v>
      </c>
      <c r="R70" s="46">
        <f t="shared" si="38"/>
        <v>0.76883555096522604</v>
      </c>
      <c r="S70" s="103">
        <f t="shared" si="39"/>
        <v>0</v>
      </c>
      <c r="T70" s="46">
        <f t="shared" si="40"/>
        <v>0.76883555096522604</v>
      </c>
      <c r="U70" s="46">
        <f t="shared" si="28"/>
        <v>1.0134253185999913</v>
      </c>
      <c r="V70" s="46">
        <f t="shared" si="41"/>
        <v>0</v>
      </c>
      <c r="W70" s="46">
        <f t="shared" si="29"/>
        <v>0.76883555096522604</v>
      </c>
      <c r="X70" s="103">
        <f t="shared" si="30"/>
        <v>0</v>
      </c>
      <c r="Y70" s="46">
        <f>X70*Inputs!$B$8</f>
        <v>0</v>
      </c>
      <c r="Z70" s="170">
        <f t="shared" si="42"/>
        <v>254</v>
      </c>
      <c r="AA70" s="104">
        <f>IF(AND(Z70&gt;=255,C70&lt;=Inputs!$B$7,V70&gt;0),(($AN$22-$AN$21)/($AM$22-$AM$21)*(Z70-$AM$21)+$AN$21)*O70,0)</f>
        <v>0</v>
      </c>
      <c r="AB70" s="104">
        <f t="shared" si="31"/>
        <v>0.76883555096522604</v>
      </c>
      <c r="AC70" s="46">
        <f t="shared" si="32"/>
        <v>1.0134253185999913</v>
      </c>
      <c r="AD70" s="46">
        <f t="shared" si="43"/>
        <v>0</v>
      </c>
      <c r="AE70" s="46">
        <f t="shared" si="33"/>
        <v>0.76883555096522604</v>
      </c>
      <c r="AF70" s="103">
        <f>IF(S70&gt;0,(((R70/O70)*S70)*Inputs!$B$12)+((Q70/O70)*S70)*Inputs!$B$23,0)</f>
        <v>0</v>
      </c>
      <c r="AG70" s="103">
        <f>IF(AA70&gt;0,(((W70/T70)*AA70)*Inputs!$B$12)+((V70/T70)*AA70)*Inputs!$B$23,0)</f>
        <v>0</v>
      </c>
      <c r="AH70" s="331">
        <f>IF(AB70&gt;0,((J70*Inputs!$B$18*Inputs!$B$42/$C$48)-O70),0)</f>
        <v>0.20849777653294266</v>
      </c>
      <c r="AI70" s="331">
        <f>IFERROR(((R70/O70)*AH70)*((Inputs!$B$12)+(((Q70/O70)*AH70)*Inputs!$B$23)),0)</f>
        <v>5.0039466367906238E-2</v>
      </c>
      <c r="AJ70" s="47"/>
      <c r="AK70" s="47"/>
    </row>
    <row r="71" spans="2:37" ht="14.25" customHeight="1">
      <c r="B71" s="134">
        <v>0.75</v>
      </c>
      <c r="C71" s="125">
        <f>Profiles!E50</f>
        <v>254</v>
      </c>
      <c r="D71" s="133">
        <f t="shared" si="34"/>
        <v>254</v>
      </c>
      <c r="E71" s="127">
        <v>0</v>
      </c>
      <c r="F71" s="127">
        <v>0</v>
      </c>
      <c r="G71" s="127">
        <v>0</v>
      </c>
      <c r="H71" s="127">
        <v>0</v>
      </c>
      <c r="I71" s="45">
        <f>Profiles!I24</f>
        <v>0.12</v>
      </c>
      <c r="J71" s="45">
        <f>Profiles!F50</f>
        <v>0.02</v>
      </c>
      <c r="K71" s="46">
        <f>Inputs!$B$9*Inputs!$A$42/$C$48*I71</f>
        <v>2.6733913043478257</v>
      </c>
      <c r="L71" s="46">
        <f t="shared" si="35"/>
        <v>1</v>
      </c>
      <c r="M71" s="114">
        <f>IF(Inputs!$B$26="Yes",VLOOKUP(D71,VWR[#All],2,FALSE),1)</f>
        <v>0.78666666666666663</v>
      </c>
      <c r="N71" s="114">
        <f>IF(Inputs!$B$27="Yes",VLOOKUP(D71,VVR[#All],2,FALSE),0)</f>
        <v>0.08</v>
      </c>
      <c r="O71" s="46">
        <f>(J71*Inputs!$B$18*Inputs!$B$42/$C$48)*M71</f>
        <v>0.34170468931787823</v>
      </c>
      <c r="P71" s="46">
        <f t="shared" si="36"/>
        <v>2.3316866150299473</v>
      </c>
      <c r="Q71" s="46">
        <f t="shared" si="37"/>
        <v>0</v>
      </c>
      <c r="R71" s="46">
        <f t="shared" si="38"/>
        <v>0.34170468931787823</v>
      </c>
      <c r="S71" s="103">
        <f t="shared" si="39"/>
        <v>0</v>
      </c>
      <c r="T71" s="46">
        <f t="shared" si="40"/>
        <v>0.34170468931787823</v>
      </c>
      <c r="U71" s="46">
        <f t="shared" si="28"/>
        <v>2.3316866150299473</v>
      </c>
      <c r="V71" s="46">
        <f t="shared" si="41"/>
        <v>0</v>
      </c>
      <c r="W71" s="46">
        <f t="shared" si="29"/>
        <v>0.34170468931787823</v>
      </c>
      <c r="X71" s="103">
        <f t="shared" si="30"/>
        <v>0</v>
      </c>
      <c r="Y71" s="46">
        <f>X71*Inputs!$B$8</f>
        <v>0</v>
      </c>
      <c r="Z71" s="170">
        <f t="shared" si="42"/>
        <v>254</v>
      </c>
      <c r="AA71" s="104">
        <f>IF(AND(Z71&gt;=255,C71&lt;=Inputs!$B$7,V71&gt;0),(($AN$22-$AN$21)/($AM$22-$AM$21)*(Z71-$AM$21)+$AN$21)*O71,0)</f>
        <v>0</v>
      </c>
      <c r="AB71" s="104">
        <f t="shared" si="31"/>
        <v>0.34170468931787823</v>
      </c>
      <c r="AC71" s="46">
        <f t="shared" si="32"/>
        <v>2.3316866150299473</v>
      </c>
      <c r="AD71" s="46">
        <f t="shared" si="43"/>
        <v>0</v>
      </c>
      <c r="AE71" s="46">
        <f t="shared" si="33"/>
        <v>0.34170468931787823</v>
      </c>
      <c r="AF71" s="103">
        <f>IF(S71&gt;0,(((R71/O71)*S71)*Inputs!$B$12)+((Q71/O71)*S71)*Inputs!$B$23,0)</f>
        <v>0</v>
      </c>
      <c r="AG71" s="103">
        <f>IF(AA71&gt;0,(((W71/T71)*AA71)*Inputs!$B$12)+((V71/T71)*AA71)*Inputs!$B$23,0)</f>
        <v>0</v>
      </c>
      <c r="AH71" s="331">
        <f>IF(AB71&gt;0,((J71*Inputs!$B$18*Inputs!$B$42/$C$48)-O71),0)</f>
        <v>9.2665678459085632E-2</v>
      </c>
      <c r="AI71" s="331">
        <f>IFERROR(((R71/O71)*AH71)*((Inputs!$B$12)+(((Q71/O71)*AH71)*Inputs!$B$23)),0)</f>
        <v>2.2239762830180552E-2</v>
      </c>
      <c r="AJ71" s="47"/>
      <c r="AK71" s="47"/>
    </row>
    <row r="72" spans="2:37" ht="14.25" customHeight="1">
      <c r="B72" s="134">
        <v>0.79166666666666696</v>
      </c>
      <c r="C72" s="125">
        <f>Profiles!E51</f>
        <v>255</v>
      </c>
      <c r="D72" s="133">
        <f t="shared" si="34"/>
        <v>255</v>
      </c>
      <c r="E72" s="127">
        <v>0</v>
      </c>
      <c r="F72" s="127">
        <v>0</v>
      </c>
      <c r="G72" s="127">
        <v>0</v>
      </c>
      <c r="H72" s="127">
        <v>0</v>
      </c>
      <c r="I72" s="45">
        <f>Profiles!I25</f>
        <v>0.12</v>
      </c>
      <c r="J72" s="45">
        <f>Profiles!F51</f>
        <v>0</v>
      </c>
      <c r="K72" s="46">
        <f>Inputs!$B$9*Inputs!$A$42/$C$48*I72</f>
        <v>2.6733913043478257</v>
      </c>
      <c r="L72" s="46">
        <f t="shared" si="35"/>
        <v>1</v>
      </c>
      <c r="M72" s="114">
        <f>IF(Inputs!$B$26="Yes",VLOOKUP(D72,VWR[#All],2,FALSE),1)</f>
        <v>0.73333333333333339</v>
      </c>
      <c r="N72" s="114">
        <f>IF(Inputs!$B$27="Yes",VLOOKUP(D72,VVR[#All],2,FALSE),0)</f>
        <v>0.1</v>
      </c>
      <c r="O72" s="46">
        <f>(J72*Inputs!$B$18*Inputs!$B$42/$C$48)*M72</f>
        <v>0</v>
      </c>
      <c r="P72" s="46">
        <f t="shared" si="36"/>
        <v>2.6733913043478257</v>
      </c>
      <c r="Q72" s="46">
        <f t="shared" si="37"/>
        <v>0</v>
      </c>
      <c r="R72" s="46">
        <f t="shared" si="38"/>
        <v>0</v>
      </c>
      <c r="S72" s="103">
        <f t="shared" si="39"/>
        <v>0</v>
      </c>
      <c r="T72" s="46">
        <f t="shared" si="40"/>
        <v>0</v>
      </c>
      <c r="U72" s="46">
        <f t="shared" si="28"/>
        <v>2.6733913043478257</v>
      </c>
      <c r="V72" s="46">
        <f t="shared" si="41"/>
        <v>0</v>
      </c>
      <c r="W72" s="46">
        <f t="shared" si="29"/>
        <v>0</v>
      </c>
      <c r="X72" s="103">
        <f t="shared" si="30"/>
        <v>0</v>
      </c>
      <c r="Y72" s="46">
        <f>X72*Inputs!$B$8</f>
        <v>0</v>
      </c>
      <c r="Z72" s="170">
        <f t="shared" si="42"/>
        <v>255</v>
      </c>
      <c r="AA72" s="104">
        <f>IF(AND(Z72&gt;=255,C72&lt;=Inputs!$B$7,V72&gt;0),(($AN$22-$AN$21)/($AM$22-$AM$21)*(Z72-$AM$21)+$AN$21)*O72,0)</f>
        <v>0</v>
      </c>
      <c r="AB72" s="104">
        <f t="shared" si="31"/>
        <v>0</v>
      </c>
      <c r="AC72" s="46">
        <f t="shared" si="32"/>
        <v>2.6733913043478257</v>
      </c>
      <c r="AD72" s="46">
        <f t="shared" si="43"/>
        <v>0</v>
      </c>
      <c r="AE72" s="46">
        <f t="shared" si="33"/>
        <v>0</v>
      </c>
      <c r="AF72" s="103">
        <f>IF(S72&gt;0,(((R72/O72)*S72)*Inputs!$B$12)+((Q72/O72)*S72)*Inputs!$B$23,0)</f>
        <v>0</v>
      </c>
      <c r="AG72" s="103">
        <f>IF(AA72&gt;0,(((W72/T72)*AA72)*Inputs!$B$12)+((V72/T72)*AA72)*Inputs!$B$23,0)</f>
        <v>0</v>
      </c>
      <c r="AH72" s="331">
        <f>IF(AB72&gt;0,((J72*Inputs!$B$18*Inputs!$B$42/$C$48)-O72),0)</f>
        <v>0</v>
      </c>
      <c r="AI72" s="331">
        <f>IFERROR(((R72/O72)*AH72)*((Inputs!$B$12)+(((Q72/O72)*AH72)*Inputs!$B$23)),0)</f>
        <v>0</v>
      </c>
      <c r="AJ72" s="47"/>
      <c r="AK72" s="47"/>
    </row>
    <row r="73" spans="2:37" ht="14.25" customHeight="1">
      <c r="B73" s="134">
        <v>0.83333333333333304</v>
      </c>
      <c r="C73" s="125">
        <f>Profiles!E52</f>
        <v>255</v>
      </c>
      <c r="D73" s="133">
        <f t="shared" si="34"/>
        <v>255</v>
      </c>
      <c r="E73" s="127">
        <v>0</v>
      </c>
      <c r="F73" s="127">
        <v>0</v>
      </c>
      <c r="G73" s="127">
        <v>0</v>
      </c>
      <c r="H73" s="127">
        <v>0</v>
      </c>
      <c r="I73" s="45">
        <f>Profiles!I26</f>
        <v>0.08</v>
      </c>
      <c r="J73" s="45">
        <f>Profiles!F52</f>
        <v>0</v>
      </c>
      <c r="K73" s="46">
        <f>Inputs!$B$9*Inputs!$A$42/$C$48*I73</f>
        <v>1.7822608695652173</v>
      </c>
      <c r="L73" s="46">
        <f>IF(D73=C73,1,0)</f>
        <v>1</v>
      </c>
      <c r="M73" s="114">
        <f>IF(Inputs!$B$26="Yes",VLOOKUP(D73,VWR[#All],2,FALSE),1)</f>
        <v>0.73333333333333339</v>
      </c>
      <c r="N73" s="114">
        <f>IF(Inputs!$B$27="Yes",VLOOKUP(D73,VVR[#All],2,FALSE),0)</f>
        <v>0.1</v>
      </c>
      <c r="O73" s="46">
        <f>(J73*Inputs!$B$18*Inputs!$B$42/$C$48)*M73</f>
        <v>0</v>
      </c>
      <c r="P73" s="46">
        <f t="shared" si="36"/>
        <v>1.7822608695652173</v>
      </c>
      <c r="Q73" s="46">
        <f>IF(O73&gt;K73,MIN((O73-K73),5),0)</f>
        <v>0</v>
      </c>
      <c r="R73" s="46">
        <f t="shared" si="38"/>
        <v>0</v>
      </c>
      <c r="S73" s="103">
        <f t="shared" si="39"/>
        <v>0</v>
      </c>
      <c r="T73" s="46">
        <f t="shared" si="40"/>
        <v>0</v>
      </c>
      <c r="U73" s="46">
        <f t="shared" si="28"/>
        <v>1.7822608695652173</v>
      </c>
      <c r="V73" s="46">
        <f t="shared" si="41"/>
        <v>0</v>
      </c>
      <c r="W73" s="46">
        <f t="shared" si="29"/>
        <v>0</v>
      </c>
      <c r="X73" s="103">
        <f t="shared" si="30"/>
        <v>0</v>
      </c>
      <c r="Y73" s="46">
        <f>X73*Inputs!$B$8</f>
        <v>0</v>
      </c>
      <c r="Z73" s="170">
        <f t="shared" si="42"/>
        <v>255</v>
      </c>
      <c r="AA73" s="104">
        <f>IF(AND(Z73&gt;=255,C73&lt;=Inputs!$B$7,V73&gt;0),(($AN$22-$AN$21)/($AM$22-$AM$21)*(Z73-$AM$21)+$AN$21)*O73,0)</f>
        <v>0</v>
      </c>
      <c r="AB73" s="104">
        <f t="shared" si="31"/>
        <v>0</v>
      </c>
      <c r="AC73" s="46">
        <f t="shared" si="32"/>
        <v>1.7822608695652173</v>
      </c>
      <c r="AD73" s="46">
        <f t="shared" si="43"/>
        <v>0</v>
      </c>
      <c r="AE73" s="46">
        <f t="shared" si="33"/>
        <v>0</v>
      </c>
      <c r="AF73" s="103">
        <f>IF(S73&gt;0,(((R73/O73)*S73)*Inputs!$B$12)+((Q73/O73)*S73)*Inputs!$B$23,0)</f>
        <v>0</v>
      </c>
      <c r="AG73" s="103">
        <f>IF(AA73&gt;0,(((W73/T73)*AA73)*Inputs!$B$12)+((V73/T73)*AA73)*Inputs!$B$23,0)</f>
        <v>0</v>
      </c>
      <c r="AH73" s="331">
        <f>IF(AB73&gt;0,((J73*Inputs!$B$18*Inputs!$B$42/$C$48)-O73),0)</f>
        <v>0</v>
      </c>
      <c r="AI73" s="331">
        <f>IFERROR(((R73/O73)*AH73)*((Inputs!$B$12)+(((Q73/O73)*AH73)*Inputs!$B$23)),0)</f>
        <v>0</v>
      </c>
      <c r="AJ73" s="47"/>
      <c r="AK73" s="47"/>
    </row>
    <row r="74" spans="2:37" ht="14.25" customHeight="1">
      <c r="B74" s="134">
        <v>0.875</v>
      </c>
      <c r="C74" s="125">
        <f>Profiles!E53</f>
        <v>255</v>
      </c>
      <c r="D74" s="133">
        <f t="shared" si="34"/>
        <v>255</v>
      </c>
      <c r="E74" s="127">
        <v>0</v>
      </c>
      <c r="F74" s="127">
        <v>0</v>
      </c>
      <c r="G74" s="127">
        <v>0</v>
      </c>
      <c r="H74" s="127">
        <v>0</v>
      </c>
      <c r="I74" s="45">
        <f>Profiles!I27</f>
        <v>0.06</v>
      </c>
      <c r="J74" s="45">
        <f>Profiles!F53</f>
        <v>0</v>
      </c>
      <c r="K74" s="46">
        <f>Inputs!$B$9*Inputs!$A$42/$C$48*I74</f>
        <v>1.3366956521739128</v>
      </c>
      <c r="L74" s="46">
        <f t="shared" si="35"/>
        <v>1</v>
      </c>
      <c r="M74" s="114">
        <f>IF(Inputs!$B$26="Yes",VLOOKUP(D74,VWR[#All],2,FALSE),1)</f>
        <v>0.73333333333333339</v>
      </c>
      <c r="N74" s="114">
        <f>IF(Inputs!$B$27="Yes",VLOOKUP(D74,VVR[#All],2,FALSE),0)</f>
        <v>0.1</v>
      </c>
      <c r="O74" s="46">
        <f>(J74*Inputs!$B$18*Inputs!$B$42/$C$48)*M74</f>
        <v>0</v>
      </c>
      <c r="P74" s="46">
        <f t="shared" si="36"/>
        <v>1.3366956521739128</v>
      </c>
      <c r="Q74" s="46">
        <f t="shared" si="37"/>
        <v>0</v>
      </c>
      <c r="R74" s="46">
        <f t="shared" si="38"/>
        <v>0</v>
      </c>
      <c r="S74" s="103">
        <f t="shared" si="39"/>
        <v>0</v>
      </c>
      <c r="T74" s="46">
        <f t="shared" si="40"/>
        <v>0</v>
      </c>
      <c r="U74" s="46">
        <f t="shared" si="28"/>
        <v>1.3366956521739128</v>
      </c>
      <c r="V74" s="46">
        <f t="shared" si="41"/>
        <v>0</v>
      </c>
      <c r="W74" s="46">
        <f t="shared" si="29"/>
        <v>0</v>
      </c>
      <c r="X74" s="103">
        <f t="shared" si="30"/>
        <v>0</v>
      </c>
      <c r="Y74" s="46">
        <f>X74*Inputs!$B$8</f>
        <v>0</v>
      </c>
      <c r="Z74" s="170">
        <f t="shared" si="42"/>
        <v>255</v>
      </c>
      <c r="AA74" s="104">
        <f>IF(AND(Z74&gt;=255,C74&lt;=Inputs!$B$7,V74&gt;0),(($AN$22-$AN$21)/($AM$22-$AM$21)*(Z74-$AM$21)+$AN$21)*O74,0)</f>
        <v>0</v>
      </c>
      <c r="AB74" s="104">
        <f t="shared" si="31"/>
        <v>0</v>
      </c>
      <c r="AC74" s="46">
        <f t="shared" si="32"/>
        <v>1.3366956521739128</v>
      </c>
      <c r="AD74" s="46">
        <f t="shared" si="43"/>
        <v>0</v>
      </c>
      <c r="AE74" s="46">
        <f t="shared" si="33"/>
        <v>0</v>
      </c>
      <c r="AF74" s="103">
        <f>IF(S74&gt;0,(((R74/O74)*S74)*Inputs!$B$12)+((Q74/O74)*S74)*Inputs!$B$23,0)</f>
        <v>0</v>
      </c>
      <c r="AG74" s="103">
        <f>IF(AA74&gt;0,(((W74/T74)*AA74)*Inputs!$B$12)+((V74/T74)*AA74)*Inputs!$B$23,0)</f>
        <v>0</v>
      </c>
      <c r="AH74" s="331">
        <f>IF(AB74&gt;0,((J74*Inputs!$B$18*Inputs!$B$42/$C$48)-O74),0)</f>
        <v>0</v>
      </c>
      <c r="AI74" s="331">
        <f>IFERROR(((R74/O74)*AH74)*((Inputs!$B$12)+(((Q74/O74)*AH74)*Inputs!$B$23)),0)</f>
        <v>0</v>
      </c>
      <c r="AJ74" s="47"/>
      <c r="AK74" s="47"/>
    </row>
    <row r="75" spans="2:37" ht="14.25" customHeight="1">
      <c r="B75" s="134">
        <v>0.91666666666666696</v>
      </c>
      <c r="C75" s="125">
        <f>Profiles!E54</f>
        <v>255</v>
      </c>
      <c r="D75" s="133">
        <f t="shared" si="34"/>
        <v>255</v>
      </c>
      <c r="E75" s="127">
        <v>0</v>
      </c>
      <c r="F75" s="127">
        <v>0</v>
      </c>
      <c r="G75" s="127">
        <v>0</v>
      </c>
      <c r="H75" s="127">
        <v>0</v>
      </c>
      <c r="I75" s="45">
        <f>Profiles!I28</f>
        <v>0.03</v>
      </c>
      <c r="J75" s="45">
        <f>Profiles!F54</f>
        <v>0</v>
      </c>
      <c r="K75" s="46">
        <f>Inputs!$B$9*Inputs!$A$42/$C$48*I75</f>
        <v>0.66834782608695642</v>
      </c>
      <c r="L75" s="46">
        <f t="shared" si="35"/>
        <v>1</v>
      </c>
      <c r="M75" s="114">
        <f>IF(Inputs!$B$26="Yes",VLOOKUP(D75,VWR[#All],2,FALSE),1)</f>
        <v>0.73333333333333339</v>
      </c>
      <c r="N75" s="114">
        <f>IF(Inputs!$B$27="Yes",VLOOKUP(D75,VVR[#All],2,FALSE),0)</f>
        <v>0.1</v>
      </c>
      <c r="O75" s="46">
        <f>(J75*Inputs!$B$18*Inputs!$B$42/$C$48)*M75</f>
        <v>0</v>
      </c>
      <c r="P75" s="46">
        <f t="shared" si="36"/>
        <v>0.66834782608695642</v>
      </c>
      <c r="Q75" s="46">
        <f t="shared" si="37"/>
        <v>0</v>
      </c>
      <c r="R75" s="46">
        <f t="shared" si="38"/>
        <v>0</v>
      </c>
      <c r="S75" s="103">
        <f t="shared" si="39"/>
        <v>0</v>
      </c>
      <c r="T75" s="46">
        <f t="shared" si="40"/>
        <v>0</v>
      </c>
      <c r="U75" s="46">
        <f t="shared" si="28"/>
        <v>0.66834782608695642</v>
      </c>
      <c r="V75" s="46">
        <f t="shared" si="41"/>
        <v>0</v>
      </c>
      <c r="W75" s="46">
        <f t="shared" si="29"/>
        <v>0</v>
      </c>
      <c r="X75" s="103">
        <f t="shared" si="30"/>
        <v>0</v>
      </c>
      <c r="Y75" s="46">
        <f>X75*Inputs!$B$8</f>
        <v>0</v>
      </c>
      <c r="Z75" s="170">
        <f t="shared" si="42"/>
        <v>255</v>
      </c>
      <c r="AA75" s="104">
        <f>IF(AND(Z75&gt;=255,C75&lt;=Inputs!$B$7,V75&gt;0),(($AN$22-$AN$21)/($AM$22-$AM$21)*(Z75-$AM$21)+$AN$21)*O75,0)</f>
        <v>0</v>
      </c>
      <c r="AB75" s="104">
        <f t="shared" si="31"/>
        <v>0</v>
      </c>
      <c r="AC75" s="46">
        <f t="shared" si="32"/>
        <v>0.66834782608695642</v>
      </c>
      <c r="AD75" s="46">
        <f t="shared" si="43"/>
        <v>0</v>
      </c>
      <c r="AE75" s="46">
        <f t="shared" si="33"/>
        <v>0</v>
      </c>
      <c r="AF75" s="103">
        <f>IF(S75&gt;0,(((R75/O75)*S75)*Inputs!$B$12)+((Q75/O75)*S75)*Inputs!$B$23,0)</f>
        <v>0</v>
      </c>
      <c r="AG75" s="103">
        <f>IF(AA75&gt;0,(((W75/T75)*AA75)*Inputs!$B$12)+((V75/T75)*AA75)*Inputs!$B$23,0)</f>
        <v>0</v>
      </c>
      <c r="AH75" s="331">
        <f>IF(AB75&gt;0,((J75*Inputs!$B$18*Inputs!$B$42/$C$48)-O75),0)</f>
        <v>0</v>
      </c>
      <c r="AI75" s="331">
        <f>IFERROR(((R75/O75)*AH75)*((Inputs!$B$12)+(((Q75/O75)*AH75)*Inputs!$B$23)),0)</f>
        <v>0</v>
      </c>
      <c r="AJ75" s="47"/>
      <c r="AK75" s="47"/>
    </row>
    <row r="76" spans="2:37" ht="14.25" customHeight="1">
      <c r="B76" s="134">
        <v>0.95833333333333304</v>
      </c>
      <c r="C76" s="125">
        <f>Profiles!E55</f>
        <v>255</v>
      </c>
      <c r="D76" s="133">
        <f t="shared" si="34"/>
        <v>255</v>
      </c>
      <c r="E76" s="127">
        <v>0</v>
      </c>
      <c r="F76" s="127">
        <v>0</v>
      </c>
      <c r="G76" s="127">
        <v>0</v>
      </c>
      <c r="H76" s="127">
        <v>0</v>
      </c>
      <c r="I76" s="45">
        <f>Profiles!I29</f>
        <v>0.01</v>
      </c>
      <c r="J76" s="45">
        <f>Profiles!F55</f>
        <v>0</v>
      </c>
      <c r="K76" s="46">
        <f>Inputs!$B$9*Inputs!$A$42/$C$48*I76</f>
        <v>0.22278260869565217</v>
      </c>
      <c r="L76" s="46">
        <f t="shared" si="35"/>
        <v>1</v>
      </c>
      <c r="M76" s="114">
        <f>IF(Inputs!$B$26="Yes",VLOOKUP(D76,VWR[#All],2,FALSE),1)</f>
        <v>0.73333333333333339</v>
      </c>
      <c r="N76" s="114">
        <f>IF(Inputs!$B$27="Yes",VLOOKUP(D76,VVR[#All],2,FALSE),0)</f>
        <v>0.1</v>
      </c>
      <c r="O76" s="46">
        <f>(J76*Inputs!$B$18*Inputs!$B$42/$C$48)*M76</f>
        <v>0</v>
      </c>
      <c r="P76" s="46">
        <f t="shared" si="36"/>
        <v>0.22278260869565217</v>
      </c>
      <c r="Q76" s="46">
        <f t="shared" si="37"/>
        <v>0</v>
      </c>
      <c r="R76" s="46">
        <f t="shared" si="38"/>
        <v>0</v>
      </c>
      <c r="S76" s="103">
        <f t="shared" si="39"/>
        <v>0</v>
      </c>
      <c r="T76" s="46">
        <f t="shared" si="40"/>
        <v>0</v>
      </c>
      <c r="U76" s="46">
        <f t="shared" si="28"/>
        <v>0.22278260869565217</v>
      </c>
      <c r="V76" s="46">
        <f t="shared" si="41"/>
        <v>0</v>
      </c>
      <c r="W76" s="46">
        <f t="shared" si="29"/>
        <v>0</v>
      </c>
      <c r="X76" s="103">
        <f t="shared" si="30"/>
        <v>0</v>
      </c>
      <c r="Y76" s="46">
        <f>X76*Inputs!$B$8</f>
        <v>0</v>
      </c>
      <c r="Z76" s="170">
        <f t="shared" si="42"/>
        <v>255</v>
      </c>
      <c r="AA76" s="104">
        <f>IF(AND(Z76&gt;=255,C76&lt;=Inputs!$B$7,V76&gt;0),(($AN$22-$AN$21)/($AM$22-$AM$21)*(Z76-$AM$21)+$AN$21)*O76,0)</f>
        <v>0</v>
      </c>
      <c r="AB76" s="104">
        <f t="shared" si="31"/>
        <v>0</v>
      </c>
      <c r="AC76" s="46">
        <f t="shared" si="32"/>
        <v>0.22278260869565217</v>
      </c>
      <c r="AD76" s="46">
        <f t="shared" si="43"/>
        <v>0</v>
      </c>
      <c r="AE76" s="46">
        <f t="shared" si="33"/>
        <v>0</v>
      </c>
      <c r="AF76" s="103">
        <f>IF(S76&gt;0,(((R76/O76)*S76)*Inputs!$B$12)+((Q76/O76)*S76)*Inputs!$B$23,0)</f>
        <v>0</v>
      </c>
      <c r="AG76" s="103">
        <f>IF(AA76&gt;0,(((W76/T76)*AA76)*Inputs!$B$12)+((V76/T76)*AA76)*Inputs!$B$23,0)</f>
        <v>0</v>
      </c>
      <c r="AH76" s="331">
        <f>IF(AB76&gt;0,((J76*Inputs!$B$18*Inputs!$B$42/$C$48)-O76),0)</f>
        <v>0</v>
      </c>
      <c r="AI76" s="331">
        <f>IFERROR(((R76/O76)*AH76)*((Inputs!$B$12)+(((Q76/O76)*AH76)*Inputs!$B$23)),0)</f>
        <v>0</v>
      </c>
      <c r="AJ76" s="47"/>
      <c r="AK76" s="47"/>
    </row>
    <row r="77" spans="2:37" ht="14.25" customHeight="1">
      <c r="S77" s="46"/>
    </row>
    <row r="78" spans="2:37" ht="18" customHeight="1">
      <c r="B78" s="144" t="s">
        <v>106</v>
      </c>
      <c r="C78" s="144">
        <f>92-D78</f>
        <v>92</v>
      </c>
      <c r="D78" s="116">
        <f>((7-Inputs!$B$13)*4*3)</f>
        <v>0</v>
      </c>
      <c r="E78" s="116"/>
      <c r="F78" s="116"/>
      <c r="G78" s="116"/>
      <c r="H78" s="116"/>
      <c r="S78" s="46"/>
    </row>
    <row r="79" spans="2:37" ht="18" customHeight="1">
      <c r="B79" s="50" t="s">
        <v>107</v>
      </c>
      <c r="C79" s="117"/>
      <c r="D79" s="117"/>
      <c r="E79" s="117"/>
      <c r="F79" s="117"/>
      <c r="G79" s="117"/>
      <c r="H79" s="117"/>
      <c r="I79" s="349" t="s">
        <v>70</v>
      </c>
      <c r="J79" s="350"/>
      <c r="K79" s="351" t="s">
        <v>71</v>
      </c>
      <c r="L79" s="351"/>
      <c r="M79" s="351"/>
      <c r="N79" s="351"/>
      <c r="O79" s="351"/>
      <c r="P79" s="351"/>
      <c r="Q79" s="351"/>
      <c r="R79" s="351"/>
      <c r="S79" s="352" t="s">
        <v>72</v>
      </c>
      <c r="T79" s="352"/>
      <c r="U79" s="352"/>
      <c r="V79" s="352"/>
      <c r="W79" s="352"/>
      <c r="X79" s="353" t="s">
        <v>73</v>
      </c>
      <c r="Y79" s="354"/>
      <c r="Z79" s="354"/>
      <c r="AA79" s="355"/>
      <c r="AB79" s="356" t="s">
        <v>105</v>
      </c>
      <c r="AC79" s="357"/>
      <c r="AD79" s="357"/>
      <c r="AE79" s="358"/>
      <c r="AF79" s="359" t="s">
        <v>75</v>
      </c>
      <c r="AG79" s="360"/>
      <c r="AH79" s="361" t="s">
        <v>252</v>
      </c>
      <c r="AI79" s="361"/>
      <c r="AJ79" s="361"/>
      <c r="AK79" s="361"/>
    </row>
    <row r="80" spans="2:37" ht="46.5" customHeight="1">
      <c r="B80" s="38" t="s">
        <v>76</v>
      </c>
      <c r="C80" s="129" t="s">
        <v>23</v>
      </c>
      <c r="D80" s="129" t="s">
        <v>24</v>
      </c>
      <c r="E80" s="129" t="s">
        <v>77</v>
      </c>
      <c r="F80" s="129" t="s">
        <v>78</v>
      </c>
      <c r="G80" s="129" t="s">
        <v>79</v>
      </c>
      <c r="H80" s="129" t="s">
        <v>80</v>
      </c>
      <c r="I80" s="39" t="s">
        <v>81</v>
      </c>
      <c r="J80" s="39" t="s">
        <v>82</v>
      </c>
      <c r="K80" s="39" t="s">
        <v>83</v>
      </c>
      <c r="L80" s="39" t="s">
        <v>84</v>
      </c>
      <c r="M80" s="39" t="s">
        <v>240</v>
      </c>
      <c r="N80" s="39" t="s">
        <v>248</v>
      </c>
      <c r="O80" s="39" t="s">
        <v>85</v>
      </c>
      <c r="P80" s="39" t="s">
        <v>86</v>
      </c>
      <c r="Q80" s="39" t="s">
        <v>87</v>
      </c>
      <c r="R80" s="39" t="s">
        <v>88</v>
      </c>
      <c r="S80" s="39" t="s">
        <v>89</v>
      </c>
      <c r="T80" s="39" t="s">
        <v>85</v>
      </c>
      <c r="U80" s="39" t="s">
        <v>86</v>
      </c>
      <c r="V80" s="39" t="s">
        <v>87</v>
      </c>
      <c r="W80" s="39" t="s">
        <v>88</v>
      </c>
      <c r="X80" s="39" t="s">
        <v>90</v>
      </c>
      <c r="Y80" s="39" t="s">
        <v>91</v>
      </c>
      <c r="Z80" s="39" t="s">
        <v>92</v>
      </c>
      <c r="AA80" s="39" t="s">
        <v>93</v>
      </c>
      <c r="AB80" s="39" t="s">
        <v>85</v>
      </c>
      <c r="AC80" s="39" t="s">
        <v>86</v>
      </c>
      <c r="AD80" s="39" t="s">
        <v>87</v>
      </c>
      <c r="AE80" s="39" t="s">
        <v>88</v>
      </c>
      <c r="AF80" s="39" t="s">
        <v>94</v>
      </c>
      <c r="AG80" s="39" t="s">
        <v>95</v>
      </c>
      <c r="AH80" s="39" t="s">
        <v>253</v>
      </c>
      <c r="AI80" s="39" t="s">
        <v>253</v>
      </c>
    </row>
    <row r="81" spans="2:37" ht="14.25" customHeight="1">
      <c r="B81" s="38"/>
      <c r="C81" s="132" t="s">
        <v>98</v>
      </c>
      <c r="D81" s="130" t="s">
        <v>98</v>
      </c>
      <c r="E81" s="131"/>
      <c r="F81" s="131"/>
      <c r="G81" s="131"/>
      <c r="H81" s="131"/>
      <c r="I81" s="39" t="s">
        <v>99</v>
      </c>
      <c r="J81" s="39" t="s">
        <v>99</v>
      </c>
      <c r="K81" s="39" t="s">
        <v>100</v>
      </c>
      <c r="L81" s="39" t="s">
        <v>101</v>
      </c>
      <c r="M81" s="39" t="s">
        <v>101</v>
      </c>
      <c r="N81" s="39" t="s">
        <v>101</v>
      </c>
      <c r="O81" s="39" t="s">
        <v>100</v>
      </c>
      <c r="P81" s="39" t="s">
        <v>100</v>
      </c>
      <c r="Q81" s="39" t="s">
        <v>100</v>
      </c>
      <c r="R81" s="39" t="s">
        <v>100</v>
      </c>
      <c r="S81" s="39" t="s">
        <v>100</v>
      </c>
      <c r="T81" s="39" t="s">
        <v>100</v>
      </c>
      <c r="U81" s="39" t="s">
        <v>100</v>
      </c>
      <c r="V81" s="39" t="s">
        <v>100</v>
      </c>
      <c r="W81" s="39" t="s">
        <v>100</v>
      </c>
      <c r="X81" s="39" t="s">
        <v>102</v>
      </c>
      <c r="Y81" s="39" t="s">
        <v>98</v>
      </c>
      <c r="Z81" s="39" t="s">
        <v>98</v>
      </c>
      <c r="AA81" s="39" t="s">
        <v>100</v>
      </c>
      <c r="AB81" s="39" t="s">
        <v>100</v>
      </c>
      <c r="AC81" s="39" t="s">
        <v>100</v>
      </c>
      <c r="AD81" s="39" t="s">
        <v>100</v>
      </c>
      <c r="AE81" s="39" t="s">
        <v>100</v>
      </c>
      <c r="AF81" s="39" t="s">
        <v>67</v>
      </c>
      <c r="AG81" s="39" t="s">
        <v>67</v>
      </c>
      <c r="AH81" s="39" t="s">
        <v>100</v>
      </c>
      <c r="AI81" s="39" t="s">
        <v>67</v>
      </c>
    </row>
    <row r="82" spans="2:37" ht="14.25" customHeight="1">
      <c r="B82" s="41" t="s">
        <v>20</v>
      </c>
      <c r="C82" s="119"/>
      <c r="D82" s="119"/>
      <c r="E82" s="119"/>
      <c r="F82" s="119"/>
      <c r="G82" s="119"/>
      <c r="H82" s="119"/>
      <c r="I82" s="42">
        <f t="shared" ref="I82:J82" si="44">SUM(I83:I106)</f>
        <v>1.0000000000000002</v>
      </c>
      <c r="J82" s="42">
        <f t="shared" si="44"/>
        <v>1</v>
      </c>
      <c r="K82" s="43">
        <f>SUM(K83:K106)</f>
        <v>21.456521739130434</v>
      </c>
      <c r="L82" s="155">
        <f>SUM(L83:L106)/24</f>
        <v>1</v>
      </c>
      <c r="M82" s="43"/>
      <c r="N82" s="340">
        <f>AVERAGE(N83:N106)</f>
        <v>0.10166666666666672</v>
      </c>
      <c r="O82" s="43">
        <f>SUM(O83:O106)</f>
        <v>17.560134507907097</v>
      </c>
      <c r="P82" s="43">
        <f>SUM(P83:P106)</f>
        <v>15.055992660350324</v>
      </c>
      <c r="Q82" s="43">
        <f t="shared" ref="Q82" si="45">SUM(Q83:Q106)</f>
        <v>11.159605429126987</v>
      </c>
      <c r="R82" s="43">
        <f t="shared" ref="R82" si="46">SUM(R83:R106)</f>
        <v>6.4005290787801101</v>
      </c>
      <c r="S82" s="43">
        <f t="shared" ref="S82" si="47">SUM(S83:S106)</f>
        <v>11.823642331516352</v>
      </c>
      <c r="T82" s="43">
        <f>SUM(T83:T106)</f>
        <v>5.7364921763907448</v>
      </c>
      <c r="U82" s="43">
        <f>SUM(U83:U106)</f>
        <v>17.630775269045976</v>
      </c>
      <c r="V82" s="43">
        <f>SUM(V83:V106)</f>
        <v>1.9107457063062874</v>
      </c>
      <c r="W82" s="43">
        <f>SUM(W83:W106)</f>
        <v>3.8257464700844572</v>
      </c>
      <c r="X82" s="43">
        <f>AVERAGEIFS(X83:X106,V83:V106,"&gt;0")</f>
        <v>2.5110030473149574</v>
      </c>
      <c r="Y82" s="43">
        <f>AVERAGEIFS(Y83:Y106,V83:V106,"&gt;0")</f>
        <v>0.95418115797968384</v>
      </c>
      <c r="Z82" s="171">
        <f>AVERAGEIFS(Z83:Z106,V83:V106,"&gt;0")</f>
        <v>255.287514491313</v>
      </c>
      <c r="AA82" s="43">
        <f t="shared" ref="AA82:AI82" si="48">SUM(AA83:AA106)</f>
        <v>0.50996776615358952</v>
      </c>
      <c r="AB82" s="43">
        <f t="shared" si="48"/>
        <v>5.2265244102371557</v>
      </c>
      <c r="AC82" s="43">
        <f t="shared" si="48"/>
        <v>17.630775269045976</v>
      </c>
      <c r="AD82" s="43">
        <f t="shared" si="48"/>
        <v>1.4007779401526979</v>
      </c>
      <c r="AE82" s="43">
        <f t="shared" si="48"/>
        <v>3.8257464700844572</v>
      </c>
      <c r="AF82" s="43">
        <f t="shared" si="48"/>
        <v>1.7278109928254406</v>
      </c>
      <c r="AG82" s="43">
        <f t="shared" si="48"/>
        <v>0.1059720975624259</v>
      </c>
      <c r="AH82" s="43">
        <f t="shared" si="48"/>
        <v>1.6681787337872191</v>
      </c>
      <c r="AI82" s="43">
        <f t="shared" si="48"/>
        <v>0.29875334481646582</v>
      </c>
    </row>
    <row r="83" spans="2:37" ht="14.25" customHeight="1">
      <c r="B83" s="134">
        <v>0</v>
      </c>
      <c r="C83" s="123">
        <f>Profiles!E32</f>
        <v>255</v>
      </c>
      <c r="D83" s="133">
        <f>C83</f>
        <v>255</v>
      </c>
      <c r="E83" s="127">
        <v>0</v>
      </c>
      <c r="F83" s="127">
        <v>0</v>
      </c>
      <c r="G83" s="127">
        <v>0</v>
      </c>
      <c r="H83" s="127">
        <v>0</v>
      </c>
      <c r="I83" s="45">
        <f>Profiles!I6</f>
        <v>0.01</v>
      </c>
      <c r="J83" s="45">
        <f>Profiles!F32</f>
        <v>0</v>
      </c>
      <c r="K83" s="46">
        <f>Inputs!$B$9*Inputs!$A$43/$C$78*I83</f>
        <v>0.21456521739130435</v>
      </c>
      <c r="L83" s="46">
        <f>IF(D83=C83,1,0)</f>
        <v>1</v>
      </c>
      <c r="M83" s="114">
        <f>IF(Inputs!$B$26="Yes",VLOOKUP(D83,VWR[#All],2,FALSE),1)</f>
        <v>0.73333333333333339</v>
      </c>
      <c r="N83" s="114">
        <f>IF(Inputs!$B$27="Yes",VLOOKUP(D83,VVR[#All],2,FALSE),0)</f>
        <v>0.1</v>
      </c>
      <c r="O83" s="46">
        <f>(J83*Inputs!$B$18*Inputs!$B$43/$C$78)*M83</f>
        <v>0</v>
      </c>
      <c r="P83" s="46">
        <f>IF(O83&gt;K83,0,K83-O83)</f>
        <v>0.21456521739130435</v>
      </c>
      <c r="Q83" s="46">
        <f>IF(O83&gt;K83,MIN((O83-K83),5),0)</f>
        <v>0</v>
      </c>
      <c r="R83" s="46">
        <f>IF(O83&gt;K83,K83,O83)</f>
        <v>0</v>
      </c>
      <c r="S83" s="103">
        <f>IF(D83&gt;255,O83,0)</f>
        <v>0</v>
      </c>
      <c r="T83" s="46">
        <f>O83-S83</f>
        <v>0</v>
      </c>
      <c r="U83" s="46">
        <f t="shared" ref="U83:U106" si="49">IF(T83&gt;K83,0,K83-T83)</f>
        <v>0.21456521739130435</v>
      </c>
      <c r="V83" s="46">
        <f>IF(T83&gt;K83,MIN((T83-K83),5),0)</f>
        <v>0</v>
      </c>
      <c r="W83" s="46">
        <f t="shared" ref="W83:W106" si="50">IF(T83&gt;K83,K83,T83)</f>
        <v>0</v>
      </c>
      <c r="X83" s="103">
        <f t="shared" ref="X83:X106" si="51">V83*1000/C83</f>
        <v>0</v>
      </c>
      <c r="Y83" s="46">
        <f>X83*Inputs!$B$8</f>
        <v>0</v>
      </c>
      <c r="Z83" s="170">
        <f>Y83+D83</f>
        <v>255</v>
      </c>
      <c r="AA83" s="104">
        <f>IF(AND(Z83&gt;=255,C83&lt;=Inputs!$B$7,V83&gt;0),(($AN$22-$AN$21)/($AM$22-$AM$21)*(Z83-$AM$21)+$AN$21)*T83,0)</f>
        <v>0</v>
      </c>
      <c r="AB83" s="104">
        <f t="shared" ref="AB83:AB106" si="52">T83-AA83</f>
        <v>0</v>
      </c>
      <c r="AC83" s="46">
        <f t="shared" ref="AC83:AC106" si="53">IF(AB83&gt;K83,0,K83-AB83)</f>
        <v>0.21456521739130435</v>
      </c>
      <c r="AD83" s="46">
        <f>IF(AB83&gt;K83,MIN((AB83-K83),5),0)</f>
        <v>0</v>
      </c>
      <c r="AE83" s="46">
        <f t="shared" ref="AE83:AE106" si="54">IF(AB83&gt;K83,K83,AB83)</f>
        <v>0</v>
      </c>
      <c r="AF83" s="103">
        <f>IF(S83&gt;0,(((R83/O83)*S83)*Inputs!$B$12)+((Q83/O83)*S83)*Inputs!$B$23,0)</f>
        <v>0</v>
      </c>
      <c r="AG83" s="103">
        <f>IF(AA83&gt;0,(((W83/T83)*AA83)*Inputs!$B$12)+((V83/T83)*AA83)*Inputs!$B$23,0)</f>
        <v>0</v>
      </c>
      <c r="AH83" s="331">
        <f>IF(AB83&gt;0,((J83*Inputs!$B$18*Inputs!$B$43/$C$78)-O83),0)</f>
        <v>0</v>
      </c>
      <c r="AI83" s="331">
        <f>IFERROR(((R83/O83)*AH83)*((Inputs!$B$12)+(((Q83/O83)*AH83)*Inputs!$B$23)),0)</f>
        <v>0</v>
      </c>
    </row>
    <row r="84" spans="2:37" ht="14.25" customHeight="1">
      <c r="B84" s="134">
        <v>4.1666666666666664E-2</v>
      </c>
      <c r="C84" s="124">
        <f>Profiles!E33</f>
        <v>255</v>
      </c>
      <c r="D84" s="133">
        <f t="shared" ref="D84:D106" si="55">C84</f>
        <v>255</v>
      </c>
      <c r="E84" s="127">
        <v>0</v>
      </c>
      <c r="F84" s="127">
        <v>0</v>
      </c>
      <c r="G84" s="127">
        <v>0</v>
      </c>
      <c r="H84" s="127">
        <v>0</v>
      </c>
      <c r="I84" s="45">
        <f>Profiles!I7</f>
        <v>0.01</v>
      </c>
      <c r="J84" s="45">
        <f>Profiles!F33</f>
        <v>0</v>
      </c>
      <c r="K84" s="46">
        <f>Inputs!$B$9*Inputs!$A$43/$C$78*I84</f>
        <v>0.21456521739130435</v>
      </c>
      <c r="L84" s="46">
        <f t="shared" ref="L84:L106" si="56">IF(D84=C84,1,0)</f>
        <v>1</v>
      </c>
      <c r="M84" s="114">
        <f>IF(Inputs!$B$26="Yes",VLOOKUP(D84,VWR[#All],2,FALSE),1)</f>
        <v>0.73333333333333339</v>
      </c>
      <c r="N84" s="114">
        <f>IF(Inputs!$B$27="Yes",VLOOKUP(D84,VVR[#All],2,FALSE),0)</f>
        <v>0.1</v>
      </c>
      <c r="O84" s="46">
        <f>(J84*Inputs!$B$18*Inputs!$B$43/$C$78)*M84</f>
        <v>0</v>
      </c>
      <c r="P84" s="46">
        <f t="shared" ref="P84:P106" si="57">IF(O84&gt;K84,0,K84-O84)</f>
        <v>0.21456521739130435</v>
      </c>
      <c r="Q84" s="46">
        <f t="shared" ref="Q84:Q106" si="58">IF(O84&gt;K84,MIN((O84-K84),5),0)</f>
        <v>0</v>
      </c>
      <c r="R84" s="46">
        <f t="shared" ref="R84:R106" si="59">IF(O84&gt;K84,K84,O84)</f>
        <v>0</v>
      </c>
      <c r="S84" s="103">
        <f t="shared" ref="S84:S106" si="60">IF(D84&gt;255,O84,0)</f>
        <v>0</v>
      </c>
      <c r="T84" s="46">
        <f t="shared" ref="T84:T106" si="61">O84-S84</f>
        <v>0</v>
      </c>
      <c r="U84" s="46">
        <f t="shared" si="49"/>
        <v>0.21456521739130435</v>
      </c>
      <c r="V84" s="46">
        <f t="shared" ref="V84:V106" si="62">IF(T84&gt;K84,MIN((T84-K84),5),0)</f>
        <v>0</v>
      </c>
      <c r="W84" s="46">
        <f t="shared" si="50"/>
        <v>0</v>
      </c>
      <c r="X84" s="103">
        <f t="shared" si="51"/>
        <v>0</v>
      </c>
      <c r="Y84" s="46">
        <f>X84*Inputs!$B$8</f>
        <v>0</v>
      </c>
      <c r="Z84" s="170">
        <f t="shared" ref="Z84:Z106" si="63">Y84+D84</f>
        <v>255</v>
      </c>
      <c r="AA84" s="104">
        <f>IF(AND(Z84&gt;=255,C84&lt;=Inputs!$B$7,V84&gt;0),(($AN$22-$AN$21)/($AM$22-$AM$21)*(Z84-$AM$21)+$AN$21)*O84,0)</f>
        <v>0</v>
      </c>
      <c r="AB84" s="104">
        <f t="shared" si="52"/>
        <v>0</v>
      </c>
      <c r="AC84" s="46">
        <f t="shared" si="53"/>
        <v>0.21456521739130435</v>
      </c>
      <c r="AD84" s="46">
        <f t="shared" ref="AD84:AD106" si="64">IF(AB84&gt;K84,MIN((AB84-K84),5),0)</f>
        <v>0</v>
      </c>
      <c r="AE84" s="46">
        <f t="shared" si="54"/>
        <v>0</v>
      </c>
      <c r="AF84" s="103">
        <f>IF(S84&gt;0,(((R84/O84)*S84)*Inputs!$B$12)+((Q84/O84)*S84)*Inputs!$B$23,0)</f>
        <v>0</v>
      </c>
      <c r="AG84" s="103">
        <f>IF(AA84&gt;0,(((W84/T84)*AA84)*Inputs!$B$12)+((V84/T84)*AA84)*Inputs!$B$23,0)</f>
        <v>0</v>
      </c>
      <c r="AH84" s="331">
        <f>IF(AB84&gt;0,((J84*Inputs!$B$18*Inputs!$B$43/$C$78)-O84),0)</f>
        <v>0</v>
      </c>
      <c r="AI84" s="331">
        <f>IFERROR(((R84/O84)*AH84)*((Inputs!$B$12)+(((Q84/O84)*AH84)*Inputs!$B$23)),0)</f>
        <v>0</v>
      </c>
    </row>
    <row r="85" spans="2:37" ht="14.25" customHeight="1">
      <c r="B85" s="134">
        <v>8.3333333333333329E-2</v>
      </c>
      <c r="C85" s="125">
        <f>Profiles!E34</f>
        <v>255</v>
      </c>
      <c r="D85" s="133">
        <f t="shared" si="55"/>
        <v>255</v>
      </c>
      <c r="E85" s="127">
        <v>0</v>
      </c>
      <c r="F85" s="127">
        <v>0</v>
      </c>
      <c r="G85" s="127">
        <v>0</v>
      </c>
      <c r="H85" s="127">
        <v>0</v>
      </c>
      <c r="I85" s="45">
        <f>Profiles!I8</f>
        <v>0.01</v>
      </c>
      <c r="J85" s="45">
        <f>Profiles!F34</f>
        <v>0</v>
      </c>
      <c r="K85" s="46">
        <f>Inputs!$B$9*Inputs!$A$43/$C$78*I85</f>
        <v>0.21456521739130435</v>
      </c>
      <c r="L85" s="46">
        <f t="shared" si="56"/>
        <v>1</v>
      </c>
      <c r="M85" s="114">
        <f>IF(Inputs!$B$26="Yes",VLOOKUP(D85,VWR[#All],2,FALSE),1)</f>
        <v>0.73333333333333339</v>
      </c>
      <c r="N85" s="114">
        <f>IF(Inputs!$B$27="Yes",VLOOKUP(D85,VVR[#All],2,FALSE),0)</f>
        <v>0.1</v>
      </c>
      <c r="O85" s="46">
        <f>(J85*Inputs!$B$18*Inputs!$B$43/$C$78)*M85</f>
        <v>0</v>
      </c>
      <c r="P85" s="46">
        <f t="shared" si="57"/>
        <v>0.21456521739130435</v>
      </c>
      <c r="Q85" s="46">
        <f t="shared" si="58"/>
        <v>0</v>
      </c>
      <c r="R85" s="46">
        <f t="shared" si="59"/>
        <v>0</v>
      </c>
      <c r="S85" s="103">
        <f t="shared" si="60"/>
        <v>0</v>
      </c>
      <c r="T85" s="46">
        <f t="shared" si="61"/>
        <v>0</v>
      </c>
      <c r="U85" s="46">
        <f t="shared" si="49"/>
        <v>0.21456521739130435</v>
      </c>
      <c r="V85" s="46">
        <f t="shared" si="62"/>
        <v>0</v>
      </c>
      <c r="W85" s="46">
        <f t="shared" si="50"/>
        <v>0</v>
      </c>
      <c r="X85" s="103">
        <f t="shared" si="51"/>
        <v>0</v>
      </c>
      <c r="Y85" s="46">
        <f>X85*Inputs!$B$8</f>
        <v>0</v>
      </c>
      <c r="Z85" s="170">
        <f t="shared" si="63"/>
        <v>255</v>
      </c>
      <c r="AA85" s="104">
        <f>IF(AND(Z85&gt;=255,C85&lt;=Inputs!$B$7,V85&gt;0),(($AN$22-$AN$21)/($AM$22-$AM$21)*(Z85-$AM$21)+$AN$21)*O85,0)</f>
        <v>0</v>
      </c>
      <c r="AB85" s="104">
        <f t="shared" si="52"/>
        <v>0</v>
      </c>
      <c r="AC85" s="46">
        <f t="shared" si="53"/>
        <v>0.21456521739130435</v>
      </c>
      <c r="AD85" s="46">
        <f t="shared" si="64"/>
        <v>0</v>
      </c>
      <c r="AE85" s="46">
        <f t="shared" si="54"/>
        <v>0</v>
      </c>
      <c r="AF85" s="103">
        <f>IF(S85&gt;0,(((R85/O85)*S85)*Inputs!$B$12)+((Q85/O85)*S85)*Inputs!$B$23,0)</f>
        <v>0</v>
      </c>
      <c r="AG85" s="103">
        <f>IF(AA85&gt;0,(((W85/T85)*AA85)*Inputs!$B$12)+((V85/T85)*AA85)*Inputs!$B$23,0)</f>
        <v>0</v>
      </c>
      <c r="AH85" s="331">
        <f>IF(AB85&gt;0,((J85*Inputs!$B$18*Inputs!$B$43/$C$78)-O85),0)</f>
        <v>0</v>
      </c>
      <c r="AI85" s="331">
        <f>IFERROR(((R85/O85)*AH85)*((Inputs!$B$12)+(((Q85/O85)*AH85)*Inputs!$B$23)),0)</f>
        <v>0</v>
      </c>
    </row>
    <row r="86" spans="2:37" ht="14.25" customHeight="1">
      <c r="B86" s="134">
        <v>0.125</v>
      </c>
      <c r="C86" s="125">
        <f>Profiles!E35</f>
        <v>255</v>
      </c>
      <c r="D86" s="133">
        <f t="shared" si="55"/>
        <v>255</v>
      </c>
      <c r="E86" s="127">
        <v>0</v>
      </c>
      <c r="F86" s="127">
        <v>0</v>
      </c>
      <c r="G86" s="127">
        <v>0</v>
      </c>
      <c r="H86" s="127">
        <v>0</v>
      </c>
      <c r="I86" s="45">
        <f>Profiles!I9</f>
        <v>0.01</v>
      </c>
      <c r="J86" s="45">
        <f>Profiles!F35</f>
        <v>0</v>
      </c>
      <c r="K86" s="46">
        <f>Inputs!$B$9*Inputs!$A$43/$C$78*I86</f>
        <v>0.21456521739130435</v>
      </c>
      <c r="L86" s="46">
        <f t="shared" si="56"/>
        <v>1</v>
      </c>
      <c r="M86" s="114">
        <f>IF(Inputs!$B$26="Yes",VLOOKUP(D86,VWR[#All],2,FALSE),1)</f>
        <v>0.73333333333333339</v>
      </c>
      <c r="N86" s="114">
        <f>IF(Inputs!$B$27="Yes",VLOOKUP(D86,VVR[#All],2,FALSE),0)</f>
        <v>0.1</v>
      </c>
      <c r="O86" s="46">
        <f>(J86*Inputs!$B$18*Inputs!$B$43/$C$78)*M86</f>
        <v>0</v>
      </c>
      <c r="P86" s="46">
        <f t="shared" si="57"/>
        <v>0.21456521739130435</v>
      </c>
      <c r="Q86" s="46">
        <f t="shared" si="58"/>
        <v>0</v>
      </c>
      <c r="R86" s="46">
        <f t="shared" si="59"/>
        <v>0</v>
      </c>
      <c r="S86" s="103">
        <f t="shared" si="60"/>
        <v>0</v>
      </c>
      <c r="T86" s="46">
        <f t="shared" si="61"/>
        <v>0</v>
      </c>
      <c r="U86" s="46">
        <f t="shared" si="49"/>
        <v>0.21456521739130435</v>
      </c>
      <c r="V86" s="46">
        <f t="shared" si="62"/>
        <v>0</v>
      </c>
      <c r="W86" s="46">
        <f t="shared" si="50"/>
        <v>0</v>
      </c>
      <c r="X86" s="103">
        <f t="shared" si="51"/>
        <v>0</v>
      </c>
      <c r="Y86" s="46">
        <f>X86*Inputs!$B$8</f>
        <v>0</v>
      </c>
      <c r="Z86" s="170">
        <f t="shared" si="63"/>
        <v>255</v>
      </c>
      <c r="AA86" s="104">
        <f>IF(AND(Z86&gt;=255,C86&lt;=Inputs!$B$7,V86&gt;0),(($AN$22-$AN$21)/($AM$22-$AM$21)*(Z86-$AM$21)+$AN$21)*O86,0)</f>
        <v>0</v>
      </c>
      <c r="AB86" s="104">
        <f t="shared" si="52"/>
        <v>0</v>
      </c>
      <c r="AC86" s="46">
        <f t="shared" si="53"/>
        <v>0.21456521739130435</v>
      </c>
      <c r="AD86" s="46">
        <f t="shared" si="64"/>
        <v>0</v>
      </c>
      <c r="AE86" s="46">
        <f t="shared" si="54"/>
        <v>0</v>
      </c>
      <c r="AF86" s="103">
        <f>IF(S86&gt;0,(((R86/O86)*S86)*Inputs!$B$12)+((Q86/O86)*S86)*Inputs!$B$23,0)</f>
        <v>0</v>
      </c>
      <c r="AG86" s="103">
        <f>IF(AA86&gt;0,(((W86/T86)*AA86)*Inputs!$B$12)+((V86/T86)*AA86)*Inputs!$B$23,0)</f>
        <v>0</v>
      </c>
      <c r="AH86" s="331">
        <f>IF(AB86&gt;0,((J86*Inputs!$B$18*Inputs!$B$43/$C$78)-O86),0)</f>
        <v>0</v>
      </c>
      <c r="AI86" s="331">
        <f>IFERROR(((R86/O86)*AH86)*((Inputs!$B$12)+(((Q86/O86)*AH86)*Inputs!$B$23)),0)</f>
        <v>0</v>
      </c>
      <c r="AJ86" s="47"/>
      <c r="AK86" s="47"/>
    </row>
    <row r="87" spans="2:37" ht="14.25" customHeight="1">
      <c r="B87" s="134">
        <v>0.16666666666666699</v>
      </c>
      <c r="C87" s="125">
        <f>Profiles!E36</f>
        <v>255</v>
      </c>
      <c r="D87" s="133">
        <f t="shared" si="55"/>
        <v>255</v>
      </c>
      <c r="E87" s="127">
        <v>0</v>
      </c>
      <c r="F87" s="127">
        <v>0</v>
      </c>
      <c r="G87" s="127">
        <v>0</v>
      </c>
      <c r="H87" s="127">
        <v>0</v>
      </c>
      <c r="I87" s="45">
        <f>Profiles!I10</f>
        <v>0.01</v>
      </c>
      <c r="J87" s="45">
        <f>Profiles!F36</f>
        <v>0</v>
      </c>
      <c r="K87" s="46">
        <f>Inputs!$B$9*Inputs!$A$43/$C$78*I87</f>
        <v>0.21456521739130435</v>
      </c>
      <c r="L87" s="46">
        <f t="shared" si="56"/>
        <v>1</v>
      </c>
      <c r="M87" s="114">
        <f>IF(Inputs!$B$26="Yes",VLOOKUP(D87,VWR[#All],2,FALSE),1)</f>
        <v>0.73333333333333339</v>
      </c>
      <c r="N87" s="114">
        <f>IF(Inputs!$B$27="Yes",VLOOKUP(D87,VVR[#All],2,FALSE),0)</f>
        <v>0.1</v>
      </c>
      <c r="O87" s="46">
        <f>(J87*Inputs!$B$18*Inputs!$B$43/$C$78)*M87</f>
        <v>0</v>
      </c>
      <c r="P87" s="46">
        <f t="shared" si="57"/>
        <v>0.21456521739130435</v>
      </c>
      <c r="Q87" s="46">
        <f t="shared" si="58"/>
        <v>0</v>
      </c>
      <c r="R87" s="46">
        <f t="shared" si="59"/>
        <v>0</v>
      </c>
      <c r="S87" s="103">
        <f t="shared" si="60"/>
        <v>0</v>
      </c>
      <c r="T87" s="46">
        <f t="shared" si="61"/>
        <v>0</v>
      </c>
      <c r="U87" s="46">
        <f t="shared" si="49"/>
        <v>0.21456521739130435</v>
      </c>
      <c r="V87" s="46">
        <f t="shared" si="62"/>
        <v>0</v>
      </c>
      <c r="W87" s="46">
        <f t="shared" si="50"/>
        <v>0</v>
      </c>
      <c r="X87" s="103">
        <f t="shared" si="51"/>
        <v>0</v>
      </c>
      <c r="Y87" s="46">
        <f>X87*Inputs!$B$8</f>
        <v>0</v>
      </c>
      <c r="Z87" s="170">
        <f t="shared" si="63"/>
        <v>255</v>
      </c>
      <c r="AA87" s="104">
        <f>IF(AND(Z87&gt;=255,C87&lt;=Inputs!$B$7,V87&gt;0),(($AN$22-$AN$21)/($AM$22-$AM$21)*(Z87-$AM$21)+$AN$21)*O87,0)</f>
        <v>0</v>
      </c>
      <c r="AB87" s="104">
        <f t="shared" si="52"/>
        <v>0</v>
      </c>
      <c r="AC87" s="46">
        <f t="shared" si="53"/>
        <v>0.21456521739130435</v>
      </c>
      <c r="AD87" s="46">
        <f t="shared" si="64"/>
        <v>0</v>
      </c>
      <c r="AE87" s="46">
        <f t="shared" si="54"/>
        <v>0</v>
      </c>
      <c r="AF87" s="103">
        <f>IF(S87&gt;0,(((R87/O87)*S87)*Inputs!$B$12)+((Q87/O87)*S87)*Inputs!$B$23,0)</f>
        <v>0</v>
      </c>
      <c r="AG87" s="103">
        <f>IF(AA87&gt;0,(((W87/T87)*AA87)*Inputs!$B$12)+((V87/T87)*AA87)*Inputs!$B$23,0)</f>
        <v>0</v>
      </c>
      <c r="AH87" s="331">
        <f>IF(AB87&gt;0,((J87*Inputs!$B$18*Inputs!$B$43/$C$78)-O87),0)</f>
        <v>0</v>
      </c>
      <c r="AI87" s="331">
        <f>IFERROR(((R87/O87)*AH87)*((Inputs!$B$12)+(((Q87/O87)*AH87)*Inputs!$B$23)),0)</f>
        <v>0</v>
      </c>
      <c r="AJ87" s="47"/>
      <c r="AK87" s="47"/>
    </row>
    <row r="88" spans="2:37" ht="14.25" customHeight="1">
      <c r="B88" s="134">
        <v>0.20833333333333301</v>
      </c>
      <c r="C88" s="125">
        <f>Profiles!E37</f>
        <v>253</v>
      </c>
      <c r="D88" s="133">
        <f t="shared" si="55"/>
        <v>253</v>
      </c>
      <c r="E88" s="127">
        <v>0</v>
      </c>
      <c r="F88" s="127">
        <v>0</v>
      </c>
      <c r="G88" s="127">
        <v>0</v>
      </c>
      <c r="H88" s="127">
        <v>0</v>
      </c>
      <c r="I88" s="45">
        <f>Profiles!I11</f>
        <v>0.01</v>
      </c>
      <c r="J88" s="45">
        <f>Profiles!F37</f>
        <v>0</v>
      </c>
      <c r="K88" s="46">
        <f>Inputs!$B$9*Inputs!$A$43/$C$78*I88</f>
        <v>0.21456521739130435</v>
      </c>
      <c r="L88" s="46">
        <f t="shared" si="56"/>
        <v>1</v>
      </c>
      <c r="M88" s="114">
        <f>IF(Inputs!$B$26="Yes",VLOOKUP(D88,VWR[#All],2,FALSE),1)</f>
        <v>0.84</v>
      </c>
      <c r="N88" s="114">
        <f>IF(Inputs!$B$27="Yes",VLOOKUP(D88,VVR[#All],2,FALSE),0)</f>
        <v>0.06</v>
      </c>
      <c r="O88" s="46">
        <f>(J88*Inputs!$B$18*Inputs!$B$43/$C$78)*M88</f>
        <v>0</v>
      </c>
      <c r="P88" s="46">
        <f t="shared" si="57"/>
        <v>0.21456521739130435</v>
      </c>
      <c r="Q88" s="46">
        <f t="shared" si="58"/>
        <v>0</v>
      </c>
      <c r="R88" s="46">
        <f t="shared" si="59"/>
        <v>0</v>
      </c>
      <c r="S88" s="103">
        <f t="shared" si="60"/>
        <v>0</v>
      </c>
      <c r="T88" s="46">
        <f t="shared" si="61"/>
        <v>0</v>
      </c>
      <c r="U88" s="46">
        <f t="shared" si="49"/>
        <v>0.21456521739130435</v>
      </c>
      <c r="V88" s="46">
        <f t="shared" si="62"/>
        <v>0</v>
      </c>
      <c r="W88" s="46">
        <f t="shared" si="50"/>
        <v>0</v>
      </c>
      <c r="X88" s="103">
        <f t="shared" si="51"/>
        <v>0</v>
      </c>
      <c r="Y88" s="46">
        <f>X88*Inputs!$B$8</f>
        <v>0</v>
      </c>
      <c r="Z88" s="170">
        <f t="shared" si="63"/>
        <v>253</v>
      </c>
      <c r="AA88" s="104">
        <f>IF(AND(Z88&gt;=255,C88&lt;=Inputs!$B$7,V88&gt;0),(($AN$22-$AN$21)/($AM$22-$AM$21)*(Z88-$AM$21)+$AN$21)*O88,0)</f>
        <v>0</v>
      </c>
      <c r="AB88" s="104">
        <f t="shared" si="52"/>
        <v>0</v>
      </c>
      <c r="AC88" s="46">
        <f t="shared" si="53"/>
        <v>0.21456521739130435</v>
      </c>
      <c r="AD88" s="46">
        <f t="shared" si="64"/>
        <v>0</v>
      </c>
      <c r="AE88" s="46">
        <f t="shared" si="54"/>
        <v>0</v>
      </c>
      <c r="AF88" s="103">
        <f>IF(S88&gt;0,(((R88/O88)*S88)*Inputs!$B$12)+((Q88/O88)*S88)*Inputs!$B$23,0)</f>
        <v>0</v>
      </c>
      <c r="AG88" s="103">
        <f>IF(AA88&gt;0,(((W88/T88)*AA88)*Inputs!$B$12)+((V88/T88)*AA88)*Inputs!$B$23,0)</f>
        <v>0</v>
      </c>
      <c r="AH88" s="331">
        <f>IF(AB88&gt;0,((J88*Inputs!$B$18*Inputs!$B$43/$C$78)-O88),0)</f>
        <v>0</v>
      </c>
      <c r="AI88" s="331">
        <f>IFERROR(((R88/O88)*AH88)*((Inputs!$B$12)+(((Q88/O88)*AH88)*Inputs!$B$23)),0)</f>
        <v>0</v>
      </c>
      <c r="AJ88" s="47"/>
      <c r="AK88" s="47"/>
    </row>
    <row r="89" spans="2:37" ht="14.25" customHeight="1">
      <c r="B89" s="134">
        <v>0.25</v>
      </c>
      <c r="C89" s="125">
        <f>Profiles!E38</f>
        <v>254</v>
      </c>
      <c r="D89" s="133">
        <f t="shared" si="55"/>
        <v>254</v>
      </c>
      <c r="E89" s="127">
        <v>0</v>
      </c>
      <c r="F89" s="127">
        <v>0</v>
      </c>
      <c r="G89" s="127">
        <v>0</v>
      </c>
      <c r="H89" s="127">
        <v>0</v>
      </c>
      <c r="I89" s="45">
        <f>Profiles!I12</f>
        <v>0.1</v>
      </c>
      <c r="J89" s="45">
        <f>Profiles!F38</f>
        <v>0</v>
      </c>
      <c r="K89" s="46">
        <f>Inputs!$B$9*Inputs!$A$43/$C$78*I89</f>
        <v>2.1456521739130436</v>
      </c>
      <c r="L89" s="46">
        <f t="shared" si="56"/>
        <v>1</v>
      </c>
      <c r="M89" s="114">
        <f>IF(Inputs!$B$26="Yes",VLOOKUP(D89,VWR[#All],2,FALSE),1)</f>
        <v>0.78666666666666663</v>
      </c>
      <c r="N89" s="114">
        <f>IF(Inputs!$B$27="Yes",VLOOKUP(D89,VVR[#All],2,FALSE),0)</f>
        <v>0.08</v>
      </c>
      <c r="O89" s="46">
        <f>(J89*Inputs!$B$18*Inputs!$B$43/$C$78)*M89</f>
        <v>0</v>
      </c>
      <c r="P89" s="46">
        <f t="shared" si="57"/>
        <v>2.1456521739130436</v>
      </c>
      <c r="Q89" s="46">
        <f t="shared" si="58"/>
        <v>0</v>
      </c>
      <c r="R89" s="46">
        <f t="shared" si="59"/>
        <v>0</v>
      </c>
      <c r="S89" s="103">
        <f t="shared" si="60"/>
        <v>0</v>
      </c>
      <c r="T89" s="46">
        <f t="shared" si="61"/>
        <v>0</v>
      </c>
      <c r="U89" s="46">
        <f t="shared" si="49"/>
        <v>2.1456521739130436</v>
      </c>
      <c r="V89" s="46">
        <f t="shared" si="62"/>
        <v>0</v>
      </c>
      <c r="W89" s="46">
        <f t="shared" si="50"/>
        <v>0</v>
      </c>
      <c r="X89" s="103">
        <f t="shared" si="51"/>
        <v>0</v>
      </c>
      <c r="Y89" s="46">
        <f>X89*Inputs!$B$8</f>
        <v>0</v>
      </c>
      <c r="Z89" s="170">
        <f t="shared" si="63"/>
        <v>254</v>
      </c>
      <c r="AA89" s="104">
        <f>IF(AND(Z89&gt;=255,C89&lt;=Inputs!$B$7,V89&gt;0),(($AN$22-$AN$21)/($AM$22-$AM$21)*(Z89-$AM$21)+$AN$21)*O89,0)</f>
        <v>0</v>
      </c>
      <c r="AB89" s="104">
        <f t="shared" si="52"/>
        <v>0</v>
      </c>
      <c r="AC89" s="46">
        <f t="shared" si="53"/>
        <v>2.1456521739130436</v>
      </c>
      <c r="AD89" s="46">
        <f t="shared" si="64"/>
        <v>0</v>
      </c>
      <c r="AE89" s="46">
        <f t="shared" si="54"/>
        <v>0</v>
      </c>
      <c r="AF89" s="103">
        <f>IF(S89&gt;0,(((R89/O89)*S89)*Inputs!$B$12)+((Q89/O89)*S89)*Inputs!$B$23,0)</f>
        <v>0</v>
      </c>
      <c r="AG89" s="103">
        <f>IF(AA89&gt;0,(((W89/T89)*AA89)*Inputs!$B$12)+((V89/T89)*AA89)*Inputs!$B$23,0)</f>
        <v>0</v>
      </c>
      <c r="AH89" s="331">
        <f>IF(AB89&gt;0,((J89*Inputs!$B$18*Inputs!$B$43/$C$78)-O89),0)</f>
        <v>0</v>
      </c>
      <c r="AI89" s="331">
        <f>IFERROR(((R89/O89)*AH89)*((Inputs!$B$12)+(((Q89/O89)*AH89)*Inputs!$B$23)),0)</f>
        <v>0</v>
      </c>
      <c r="AJ89" s="47"/>
      <c r="AK89" s="47"/>
    </row>
    <row r="90" spans="2:37" ht="14.25" customHeight="1">
      <c r="B90" s="134">
        <v>0.29166666666666702</v>
      </c>
      <c r="C90" s="125">
        <f>Profiles!E39</f>
        <v>255</v>
      </c>
      <c r="D90" s="133">
        <f t="shared" si="55"/>
        <v>255</v>
      </c>
      <c r="E90" s="127">
        <v>0</v>
      </c>
      <c r="F90" s="127">
        <v>0</v>
      </c>
      <c r="G90" s="127">
        <v>0</v>
      </c>
      <c r="H90" s="127">
        <v>0</v>
      </c>
      <c r="I90" s="45">
        <f>Profiles!I13</f>
        <v>0.12</v>
      </c>
      <c r="J90" s="45">
        <f>Profiles!F39</f>
        <v>0.02</v>
      </c>
      <c r="K90" s="46">
        <f>Inputs!$B$9*Inputs!$A$43/$C$78*I90</f>
        <v>2.574782608695652</v>
      </c>
      <c r="L90" s="46">
        <f t="shared" si="56"/>
        <v>1</v>
      </c>
      <c r="M90" s="114">
        <f>IF(Inputs!$B$26="Yes",VLOOKUP(D90,VWR[#All],2,FALSE),1)</f>
        <v>0.73333333333333339</v>
      </c>
      <c r="N90" s="114">
        <f>IF(Inputs!$B$27="Yes",VLOOKUP(D90,VVR[#All],2,FALSE),0)</f>
        <v>0.1</v>
      </c>
      <c r="O90" s="46">
        <f>(J90*Inputs!$B$18*Inputs!$B$43/$C$78)*M90</f>
        <v>0.37448910350325337</v>
      </c>
      <c r="P90" s="46">
        <f t="shared" si="57"/>
        <v>2.2002935051923984</v>
      </c>
      <c r="Q90" s="46">
        <f t="shared" si="58"/>
        <v>0</v>
      </c>
      <c r="R90" s="46">
        <f t="shared" si="59"/>
        <v>0.37448910350325337</v>
      </c>
      <c r="S90" s="103">
        <f t="shared" si="60"/>
        <v>0</v>
      </c>
      <c r="T90" s="46">
        <f t="shared" si="61"/>
        <v>0.37448910350325337</v>
      </c>
      <c r="U90" s="46">
        <f t="shared" si="49"/>
        <v>2.2002935051923984</v>
      </c>
      <c r="V90" s="46">
        <f t="shared" si="62"/>
        <v>0</v>
      </c>
      <c r="W90" s="46">
        <f t="shared" si="50"/>
        <v>0.37448910350325337</v>
      </c>
      <c r="X90" s="103">
        <f t="shared" si="51"/>
        <v>0</v>
      </c>
      <c r="Y90" s="46">
        <f>X90*Inputs!$B$8</f>
        <v>0</v>
      </c>
      <c r="Z90" s="170">
        <f t="shared" si="63"/>
        <v>255</v>
      </c>
      <c r="AA90" s="104">
        <f>IF(AND(Z90&gt;=255,C90&lt;=Inputs!$B$7,V90&gt;0),(($AN$22-$AN$21)/($AM$22-$AM$21)*(Z90-$AM$21)+$AN$21)*O90,0)</f>
        <v>0</v>
      </c>
      <c r="AB90" s="104">
        <f t="shared" si="52"/>
        <v>0.37448910350325337</v>
      </c>
      <c r="AC90" s="46">
        <f t="shared" si="53"/>
        <v>2.2002935051923984</v>
      </c>
      <c r="AD90" s="46">
        <f t="shared" si="64"/>
        <v>0</v>
      </c>
      <c r="AE90" s="46">
        <f t="shared" si="54"/>
        <v>0.37448910350325337</v>
      </c>
      <c r="AF90" s="103">
        <f>IF(S90&gt;0,(((R90/O90)*S90)*Inputs!$B$12)+((Q90/O90)*S90)*Inputs!$B$23,0)</f>
        <v>0</v>
      </c>
      <c r="AG90" s="103">
        <f>IF(AA90&gt;0,(((W90/T90)*AA90)*Inputs!$B$12)+((V90/T90)*AA90)*Inputs!$B$23,0)</f>
        <v>0</v>
      </c>
      <c r="AH90" s="331">
        <f>IF(AB90&gt;0,((J90*Inputs!$B$18*Inputs!$B$43/$C$78)-O90),0)</f>
        <v>0.13617785581936481</v>
      </c>
      <c r="AI90" s="331">
        <f>IFERROR(((R90/O90)*AH90)*((Inputs!$B$12)+(((Q90/O90)*AH90)*Inputs!$B$23)),0)</f>
        <v>3.2682685396647551E-2</v>
      </c>
      <c r="AJ90" s="47"/>
      <c r="AK90" s="47"/>
    </row>
    <row r="91" spans="2:37" ht="14.25" customHeight="1">
      <c r="B91" s="134">
        <v>0.33333333333333298</v>
      </c>
      <c r="C91" s="125">
        <f>Profiles!E40</f>
        <v>255</v>
      </c>
      <c r="D91" s="133">
        <f t="shared" si="55"/>
        <v>255</v>
      </c>
      <c r="E91" s="127">
        <v>0</v>
      </c>
      <c r="F91" s="127">
        <v>0</v>
      </c>
      <c r="G91" s="127">
        <v>0</v>
      </c>
      <c r="H91" s="127">
        <v>0</v>
      </c>
      <c r="I91" s="45">
        <f>Profiles!I14</f>
        <v>0.03</v>
      </c>
      <c r="J91" s="45">
        <f>Profiles!F40</f>
        <v>4.4999999999999998E-2</v>
      </c>
      <c r="K91" s="46">
        <f>Inputs!$B$9*Inputs!$A$43/$C$78*I91</f>
        <v>0.643695652173913</v>
      </c>
      <c r="L91" s="46">
        <f t="shared" si="56"/>
        <v>1</v>
      </c>
      <c r="M91" s="114">
        <f>IF(Inputs!$B$26="Yes",VLOOKUP(D91,VWR[#All],2,FALSE),1)</f>
        <v>0.73333333333333339</v>
      </c>
      <c r="N91" s="114">
        <f>IF(Inputs!$B$27="Yes",VLOOKUP(D91,VVR[#All],2,FALSE),0)</f>
        <v>0.1</v>
      </c>
      <c r="O91" s="46">
        <f>(J91*Inputs!$B$18*Inputs!$B$43/$C$78)*M91</f>
        <v>0.84260048288232015</v>
      </c>
      <c r="P91" s="46">
        <f t="shared" si="57"/>
        <v>0</v>
      </c>
      <c r="Q91" s="46">
        <f t="shared" si="58"/>
        <v>0.19890483070840714</v>
      </c>
      <c r="R91" s="46">
        <f t="shared" si="59"/>
        <v>0.643695652173913</v>
      </c>
      <c r="S91" s="103">
        <f t="shared" si="60"/>
        <v>0</v>
      </c>
      <c r="T91" s="46">
        <f t="shared" si="61"/>
        <v>0.84260048288232015</v>
      </c>
      <c r="U91" s="46">
        <f t="shared" si="49"/>
        <v>0</v>
      </c>
      <c r="V91" s="46">
        <f t="shared" si="62"/>
        <v>0.19890483070840714</v>
      </c>
      <c r="W91" s="46">
        <f t="shared" si="50"/>
        <v>0.643695652173913</v>
      </c>
      <c r="X91" s="103">
        <f t="shared" si="51"/>
        <v>0.78001894395453775</v>
      </c>
      <c r="Y91" s="46">
        <f>X91*Inputs!$B$8</f>
        <v>0.29640719870272436</v>
      </c>
      <c r="Z91" s="170">
        <f t="shared" si="63"/>
        <v>255.29640719870272</v>
      </c>
      <c r="AA91" s="104">
        <f>IF(AND(Z91&gt;=255,C91&lt;=Inputs!$B$7,V91&gt;0),(($AN$22-$AN$21)/($AM$22-$AM$21)*(Z91-$AM$21)+$AN$21)*O91,0)</f>
        <v>0.16540869868939112</v>
      </c>
      <c r="AB91" s="104">
        <f t="shared" si="52"/>
        <v>0.67719178419292902</v>
      </c>
      <c r="AC91" s="46">
        <f t="shared" si="53"/>
        <v>0</v>
      </c>
      <c r="AD91" s="46">
        <f>IF(AB91&gt;K91,MIN((AB91-K91),5),0)</f>
        <v>3.3496132019016023E-2</v>
      </c>
      <c r="AE91" s="46">
        <f t="shared" si="54"/>
        <v>0.643695652173913</v>
      </c>
      <c r="AF91" s="103">
        <f>IF(S91&gt;0,(((R91/O91)*S91)*Inputs!$B$12)+((Q91/O91)*S91)*Inputs!$B$23,0)</f>
        <v>0</v>
      </c>
      <c r="AG91" s="103">
        <f>IF(AA91&gt;0,(((W91/T91)*AA91)*Inputs!$B$12)+((V91/T91)*AA91)*Inputs!$B$23,0)</f>
        <v>3.5012509187141105E-2</v>
      </c>
      <c r="AH91" s="331">
        <f>IF(AB91&gt;0,((J91*Inputs!$B$18*Inputs!$B$43/$C$78)-O91),0)</f>
        <v>0.3064001755935708</v>
      </c>
      <c r="AI91" s="331">
        <f>IFERROR(((R91/O91)*AH91)*((Inputs!$B$12)+(((Q91/O91)*AH91)*Inputs!$B$23)),0)</f>
        <v>5.8208691755582034E-2</v>
      </c>
      <c r="AJ91" s="47"/>
      <c r="AK91" s="47"/>
    </row>
    <row r="92" spans="2:37" ht="14.25" customHeight="1">
      <c r="B92" s="134">
        <v>0.375</v>
      </c>
      <c r="C92" s="125">
        <f>Profiles!E41</f>
        <v>253</v>
      </c>
      <c r="D92" s="133">
        <f t="shared" si="55"/>
        <v>253</v>
      </c>
      <c r="E92" s="127">
        <v>0</v>
      </c>
      <c r="F92" s="127">
        <v>0</v>
      </c>
      <c r="G92" s="127">
        <v>0</v>
      </c>
      <c r="H92" s="127">
        <v>0</v>
      </c>
      <c r="I92" s="45">
        <f>Profiles!I15</f>
        <v>0.02</v>
      </c>
      <c r="J92" s="45">
        <f>Profiles!F41</f>
        <v>0.08</v>
      </c>
      <c r="K92" s="46">
        <f>Inputs!$B$9*Inputs!$A$43/$C$78*I92</f>
        <v>0.42913043478260871</v>
      </c>
      <c r="L92" s="46">
        <f t="shared" si="56"/>
        <v>1</v>
      </c>
      <c r="M92" s="114">
        <f>IF(Inputs!$B$26="Yes",VLOOKUP(D92,VWR[#All],2,FALSE),1)</f>
        <v>0.84</v>
      </c>
      <c r="N92" s="114">
        <f>IF(Inputs!$B$27="Yes",VLOOKUP(D92,VVR[#All],2,FALSE),0)</f>
        <v>0.06</v>
      </c>
      <c r="O92" s="46">
        <f>(J92*Inputs!$B$18*Inputs!$B$43/$C$78)*M92</f>
        <v>1.7158409833239971</v>
      </c>
      <c r="P92" s="46">
        <f t="shared" si="57"/>
        <v>0</v>
      </c>
      <c r="Q92" s="46">
        <f t="shared" si="58"/>
        <v>1.2867105485413886</v>
      </c>
      <c r="R92" s="46">
        <f t="shared" si="59"/>
        <v>0.42913043478260871</v>
      </c>
      <c r="S92" s="103">
        <f t="shared" si="60"/>
        <v>0</v>
      </c>
      <c r="T92" s="46">
        <f t="shared" si="61"/>
        <v>1.7158409833239971</v>
      </c>
      <c r="U92" s="46">
        <f t="shared" si="49"/>
        <v>0</v>
      </c>
      <c r="V92" s="46">
        <f t="shared" si="62"/>
        <v>1.2867105485413886</v>
      </c>
      <c r="W92" s="46">
        <f t="shared" si="50"/>
        <v>0.42913043478260871</v>
      </c>
      <c r="X92" s="103">
        <f t="shared" si="51"/>
        <v>5.0858124448276225</v>
      </c>
      <c r="Y92" s="46">
        <f>X92*Inputs!$B$8</f>
        <v>1.9326087290344967</v>
      </c>
      <c r="Z92" s="170">
        <f t="shared" si="63"/>
        <v>254.93260872903448</v>
      </c>
      <c r="AA92" s="104">
        <f>IF(AND(Z92&gt;=255,C92&lt;=Inputs!$B$7,V92&gt;0),(($AN$22-$AN$21)/($AM$22-$AM$21)*(Z92-$AM$21)+$AN$21)*O92,0)</f>
        <v>0</v>
      </c>
      <c r="AB92" s="104">
        <f t="shared" si="52"/>
        <v>1.7158409833239971</v>
      </c>
      <c r="AC92" s="46">
        <f t="shared" si="53"/>
        <v>0</v>
      </c>
      <c r="AD92" s="46">
        <f t="shared" si="64"/>
        <v>1.2867105485413886</v>
      </c>
      <c r="AE92" s="46">
        <f t="shared" si="54"/>
        <v>0.42913043478260871</v>
      </c>
      <c r="AF92" s="103">
        <f>IF(S92&gt;0,(((R92/O92)*S92)*Inputs!$B$12)+((Q92/O92)*S92)*Inputs!$B$23,0)</f>
        <v>0</v>
      </c>
      <c r="AG92" s="103">
        <f>IF(AA92&gt;0,(((W92/T92)*AA92)*Inputs!$B$12)+((V92/T92)*AA92)*Inputs!$B$23,0)</f>
        <v>0</v>
      </c>
      <c r="AH92" s="331">
        <f>IF(AB92&gt;0,((J92*Inputs!$B$18*Inputs!$B$43/$C$78)-O92),0)</f>
        <v>0.32682685396647559</v>
      </c>
      <c r="AI92" s="331">
        <f>IFERROR(((R92/O92)*AH92)*((Inputs!$B$12)+(((Q92/O92)*AH92)*Inputs!$B$23)),0)</f>
        <v>2.2021382192554343E-2</v>
      </c>
      <c r="AJ92" s="47"/>
      <c r="AK92" s="47"/>
    </row>
    <row r="93" spans="2:37" ht="14.25" customHeight="1">
      <c r="B93" s="134">
        <v>0.41666666666666702</v>
      </c>
      <c r="C93" s="125">
        <f>Profiles!E42</f>
        <v>256</v>
      </c>
      <c r="D93" s="133">
        <f t="shared" si="55"/>
        <v>256</v>
      </c>
      <c r="E93" s="127">
        <v>0</v>
      </c>
      <c r="F93" s="127">
        <v>0</v>
      </c>
      <c r="G93" s="127">
        <v>0</v>
      </c>
      <c r="H93" s="127">
        <v>0</v>
      </c>
      <c r="I93" s="45">
        <f>Profiles!I16</f>
        <v>0.02</v>
      </c>
      <c r="J93" s="45">
        <f>Profiles!F42</f>
        <v>0.11</v>
      </c>
      <c r="K93" s="46">
        <f>Inputs!$B$9*Inputs!$A$43/$C$78*I93</f>
        <v>0.42913043478260871</v>
      </c>
      <c r="L93" s="46">
        <f t="shared" si="56"/>
        <v>1</v>
      </c>
      <c r="M93" s="114">
        <f>IF(Inputs!$B$26="Yes",VLOOKUP(D93,VWR[#All],2,FALSE),1)</f>
        <v>0.67999999999999994</v>
      </c>
      <c r="N93" s="114">
        <f>IF(Inputs!$B$27="Yes",VLOOKUP(D93,VVR[#All],2,FALSE),0)</f>
        <v>0.12</v>
      </c>
      <c r="O93" s="46">
        <f>(J93*Inputs!$B$18*Inputs!$B$43/$C$78)*M93</f>
        <v>1.9098944278665919</v>
      </c>
      <c r="P93" s="46">
        <f t="shared" si="57"/>
        <v>0</v>
      </c>
      <c r="Q93" s="46">
        <f t="shared" si="58"/>
        <v>1.4807639930839831</v>
      </c>
      <c r="R93" s="46">
        <f t="shared" si="59"/>
        <v>0.42913043478260871</v>
      </c>
      <c r="S93" s="103">
        <f t="shared" si="60"/>
        <v>1.9098944278665919</v>
      </c>
      <c r="T93" s="46">
        <f t="shared" si="61"/>
        <v>0</v>
      </c>
      <c r="U93" s="46">
        <f t="shared" si="49"/>
        <v>0.42913043478260871</v>
      </c>
      <c r="V93" s="46">
        <f t="shared" si="62"/>
        <v>0</v>
      </c>
      <c r="W93" s="46">
        <f t="shared" si="50"/>
        <v>0</v>
      </c>
      <c r="X93" s="103">
        <f t="shared" si="51"/>
        <v>0</v>
      </c>
      <c r="Y93" s="46">
        <f>X93*Inputs!$B$8</f>
        <v>0</v>
      </c>
      <c r="Z93" s="170">
        <f t="shared" si="63"/>
        <v>256</v>
      </c>
      <c r="AA93" s="104">
        <f>IF(AND(Z93&gt;=255,C93&lt;=Inputs!$B$7,V93&gt;0),(($AN$22-$AN$21)/($AM$22-$AM$21)*(Z93-$AM$21)+$AN$21)*O93,0)</f>
        <v>0</v>
      </c>
      <c r="AB93" s="104">
        <f t="shared" si="52"/>
        <v>0</v>
      </c>
      <c r="AC93" s="46">
        <f t="shared" si="53"/>
        <v>0.42913043478260871</v>
      </c>
      <c r="AD93" s="46">
        <f>IF(AB93&gt;K93,MIN((AB93-K93),5),0)</f>
        <v>0</v>
      </c>
      <c r="AE93" s="46">
        <f t="shared" si="54"/>
        <v>0</v>
      </c>
      <c r="AF93" s="103">
        <f>IF(S93&gt;0,(((R93/O93)*S93)*Inputs!$B$12)+((Q93/O93)*S93)*Inputs!$B$23,0)</f>
        <v>0.28068298351790405</v>
      </c>
      <c r="AG93" s="103">
        <f>IF(AA93&gt;0,(((W93/T93)*AA93)*Inputs!$B$12)+((V93/T93)*AA93)*Inputs!$B$23,0)</f>
        <v>0</v>
      </c>
      <c r="AH93" s="331">
        <f>IF(AB93&gt;0,((J93*Inputs!$B$18*Inputs!$B$43/$C$78)-O93),0)</f>
        <v>0</v>
      </c>
      <c r="AI93" s="331">
        <f>IFERROR(((R93/O93)*AH93)*((Inputs!$B$12)+(((Q93/O93)*AH93)*Inputs!$B$23)),0)</f>
        <v>0</v>
      </c>
      <c r="AJ93" s="47"/>
      <c r="AK93" s="47"/>
    </row>
    <row r="94" spans="2:37" ht="14.25" customHeight="1">
      <c r="B94" s="134">
        <v>0.45833333333333298</v>
      </c>
      <c r="C94" s="125">
        <f>Profiles!E43</f>
        <v>257</v>
      </c>
      <c r="D94" s="133">
        <f t="shared" si="55"/>
        <v>257</v>
      </c>
      <c r="E94" s="127">
        <v>0</v>
      </c>
      <c r="F94" s="127">
        <v>0</v>
      </c>
      <c r="G94" s="127">
        <v>0</v>
      </c>
      <c r="H94" s="127">
        <v>0</v>
      </c>
      <c r="I94" s="45">
        <f>Profiles!I17</f>
        <v>0.02</v>
      </c>
      <c r="J94" s="45">
        <f>Profiles!F43</f>
        <v>0.12</v>
      </c>
      <c r="K94" s="46">
        <f>Inputs!$B$9*Inputs!$A$43/$C$78*I94</f>
        <v>0.42913043478260871</v>
      </c>
      <c r="L94" s="46">
        <f t="shared" si="56"/>
        <v>1</v>
      </c>
      <c r="M94" s="114">
        <f>IF(Inputs!$B$26="Yes",VLOOKUP(D94,VWR[#All],2,FALSE),1)</f>
        <v>0.62666666666666671</v>
      </c>
      <c r="N94" s="114">
        <f>IF(Inputs!$B$27="Yes",VLOOKUP(D94,VVR[#All],2,FALSE),0)</f>
        <v>0.14000000000000001</v>
      </c>
      <c r="O94" s="46">
        <f>(J94*Inputs!$B$18*Inputs!$B$43/$C$78)*M94</f>
        <v>1.9201077670530446</v>
      </c>
      <c r="P94" s="46">
        <f t="shared" si="57"/>
        <v>0</v>
      </c>
      <c r="Q94" s="46">
        <f t="shared" si="58"/>
        <v>1.4909773322704361</v>
      </c>
      <c r="R94" s="46">
        <f t="shared" si="59"/>
        <v>0.42913043478260871</v>
      </c>
      <c r="S94" s="103">
        <f t="shared" si="60"/>
        <v>1.9201077670530446</v>
      </c>
      <c r="T94" s="46">
        <f t="shared" si="61"/>
        <v>0</v>
      </c>
      <c r="U94" s="46">
        <f t="shared" si="49"/>
        <v>0.42913043478260871</v>
      </c>
      <c r="V94" s="46">
        <f t="shared" si="62"/>
        <v>0</v>
      </c>
      <c r="W94" s="46">
        <f t="shared" si="50"/>
        <v>0</v>
      </c>
      <c r="X94" s="103">
        <f t="shared" si="51"/>
        <v>0</v>
      </c>
      <c r="Y94" s="46">
        <f>X94*Inputs!$B$8</f>
        <v>0</v>
      </c>
      <c r="Z94" s="170">
        <f t="shared" si="63"/>
        <v>257</v>
      </c>
      <c r="AA94" s="104">
        <f>IF(AND(Z94&gt;=255,C94&lt;=Inputs!$B$7,V94&gt;0),(($AN$22-$AN$21)/($AM$22-$AM$21)*(Z94-$AM$21)+$AN$21)*O94,0)</f>
        <v>0</v>
      </c>
      <c r="AB94" s="104">
        <f t="shared" si="52"/>
        <v>0</v>
      </c>
      <c r="AC94" s="46">
        <f t="shared" si="53"/>
        <v>0.42913043478260871</v>
      </c>
      <c r="AD94" s="46">
        <f t="shared" si="64"/>
        <v>0</v>
      </c>
      <c r="AE94" s="46">
        <f t="shared" si="54"/>
        <v>0</v>
      </c>
      <c r="AF94" s="103">
        <f>IF(S94&gt;0,(((R94/O94)*S94)*Inputs!$B$12)+((Q94/O94)*S94)*Inputs!$B$23,0)</f>
        <v>0.28190858422027842</v>
      </c>
      <c r="AG94" s="103">
        <f>IF(AA94&gt;0,(((W94/T94)*AA94)*Inputs!$B$12)+((V94/T94)*AA94)*Inputs!$B$23,0)</f>
        <v>0</v>
      </c>
      <c r="AH94" s="331">
        <f>IF(AB94&gt;0,((J94*Inputs!$B$18*Inputs!$B$43/$C$78)-O94),0)</f>
        <v>0</v>
      </c>
      <c r="AI94" s="331">
        <f>IFERROR(((R94/O94)*AH94)*((Inputs!$B$12)+(((Q94/O94)*AH94)*Inputs!$B$23)),0)</f>
        <v>0</v>
      </c>
      <c r="AJ94" s="47"/>
      <c r="AK94" s="47"/>
    </row>
    <row r="95" spans="2:37" ht="14.25" customHeight="1">
      <c r="B95" s="134">
        <v>0.5</v>
      </c>
      <c r="C95" s="125">
        <f>Profiles!E44</f>
        <v>257</v>
      </c>
      <c r="D95" s="133">
        <f t="shared" si="55"/>
        <v>257</v>
      </c>
      <c r="E95" s="127">
        <v>0</v>
      </c>
      <c r="F95" s="127">
        <v>0</v>
      </c>
      <c r="G95" s="127">
        <v>0</v>
      </c>
      <c r="H95" s="127">
        <v>0</v>
      </c>
      <c r="I95" s="45">
        <f>Profiles!I18</f>
        <v>0.02</v>
      </c>
      <c r="J95" s="45">
        <f>Profiles!F44</f>
        <v>0.125</v>
      </c>
      <c r="K95" s="46">
        <f>Inputs!$B$9*Inputs!$A$43/$C$78*I95</f>
        <v>0.42913043478260871</v>
      </c>
      <c r="L95" s="46">
        <f t="shared" si="56"/>
        <v>1</v>
      </c>
      <c r="M95" s="114">
        <f>IF(Inputs!$B$26="Yes",VLOOKUP(D95,VWR[#All],2,FALSE),1)</f>
        <v>0.62666666666666671</v>
      </c>
      <c r="N95" s="114">
        <f>IF(Inputs!$B$27="Yes",VLOOKUP(D95,VVR[#All],2,FALSE),0)</f>
        <v>0.14000000000000001</v>
      </c>
      <c r="O95" s="46">
        <f>(J95*Inputs!$B$18*Inputs!$B$43/$C$78)*M95</f>
        <v>2.0001122573469212</v>
      </c>
      <c r="P95" s="46">
        <f t="shared" si="57"/>
        <v>0</v>
      </c>
      <c r="Q95" s="46">
        <f t="shared" si="58"/>
        <v>1.5709818225643124</v>
      </c>
      <c r="R95" s="46">
        <f t="shared" si="59"/>
        <v>0.42913043478260871</v>
      </c>
      <c r="S95" s="103">
        <f t="shared" si="60"/>
        <v>2.0001122573469212</v>
      </c>
      <c r="T95" s="46">
        <f t="shared" si="61"/>
        <v>0</v>
      </c>
      <c r="U95" s="46">
        <f t="shared" si="49"/>
        <v>0.42913043478260871</v>
      </c>
      <c r="V95" s="46">
        <f t="shared" si="62"/>
        <v>0</v>
      </c>
      <c r="W95" s="46">
        <f t="shared" si="50"/>
        <v>0</v>
      </c>
      <c r="X95" s="103">
        <f t="shared" si="51"/>
        <v>0</v>
      </c>
      <c r="Y95" s="46">
        <f>X95*Inputs!$B$8</f>
        <v>0</v>
      </c>
      <c r="Z95" s="170">
        <f t="shared" si="63"/>
        <v>257</v>
      </c>
      <c r="AA95" s="104">
        <f>IF(AND(Z95&gt;=255,C95&lt;=Inputs!$B$7,V95&gt;0),(($AN$22-$AN$21)/($AM$22-$AM$21)*(Z95-$AM$21)+$AN$21)*O95,0)</f>
        <v>0</v>
      </c>
      <c r="AB95" s="104">
        <f t="shared" si="52"/>
        <v>0</v>
      </c>
      <c r="AC95" s="46">
        <f t="shared" si="53"/>
        <v>0.42913043478260871</v>
      </c>
      <c r="AD95" s="46">
        <f t="shared" si="64"/>
        <v>0</v>
      </c>
      <c r="AE95" s="46">
        <f t="shared" si="54"/>
        <v>0</v>
      </c>
      <c r="AF95" s="103">
        <f>IF(S95&gt;0,(((R95/O95)*S95)*Inputs!$B$12)+((Q95/O95)*S95)*Inputs!$B$23,0)</f>
        <v>0.29150912305554355</v>
      </c>
      <c r="AG95" s="103">
        <f>IF(AA95&gt;0,(((W95/T95)*AA95)*Inputs!$B$12)+((V95/T95)*AA95)*Inputs!$B$23,0)</f>
        <v>0</v>
      </c>
      <c r="AH95" s="331">
        <f>IF(AB95&gt;0,((J95*Inputs!$B$18*Inputs!$B$43/$C$78)-O95),0)</f>
        <v>0</v>
      </c>
      <c r="AI95" s="331">
        <f>IFERROR(((R95/O95)*AH95)*((Inputs!$B$12)+(((Q95/O95)*AH95)*Inputs!$B$23)),0)</f>
        <v>0</v>
      </c>
      <c r="AJ95" s="47"/>
      <c r="AK95" s="47"/>
    </row>
    <row r="96" spans="2:37" ht="14.25" customHeight="1">
      <c r="B96" s="134">
        <v>0.54166666666666696</v>
      </c>
      <c r="C96" s="125">
        <f>Profiles!E45</f>
        <v>257</v>
      </c>
      <c r="D96" s="133">
        <f t="shared" si="55"/>
        <v>257</v>
      </c>
      <c r="E96" s="127">
        <v>0</v>
      </c>
      <c r="F96" s="127">
        <v>0</v>
      </c>
      <c r="G96" s="127">
        <v>0</v>
      </c>
      <c r="H96" s="127">
        <v>0</v>
      </c>
      <c r="I96" s="45">
        <f>Profiles!I19</f>
        <v>0.02</v>
      </c>
      <c r="J96" s="45">
        <f>Profiles!F45</f>
        <v>0.125</v>
      </c>
      <c r="K96" s="46">
        <f>Inputs!$B$9*Inputs!$A$43/$C$78*I96</f>
        <v>0.42913043478260871</v>
      </c>
      <c r="L96" s="46">
        <f t="shared" si="56"/>
        <v>1</v>
      </c>
      <c r="M96" s="114">
        <f>IF(Inputs!$B$26="Yes",VLOOKUP(D96,VWR[#All],2,FALSE),1)</f>
        <v>0.62666666666666671</v>
      </c>
      <c r="N96" s="114">
        <f>IF(Inputs!$B$27="Yes",VLOOKUP(D96,VVR[#All],2,FALSE),0)</f>
        <v>0.14000000000000001</v>
      </c>
      <c r="O96" s="46">
        <f>(J96*Inputs!$B$18*Inputs!$B$43/$C$78)*M96</f>
        <v>2.0001122573469212</v>
      </c>
      <c r="P96" s="46">
        <f t="shared" si="57"/>
        <v>0</v>
      </c>
      <c r="Q96" s="46">
        <f t="shared" si="58"/>
        <v>1.5709818225643124</v>
      </c>
      <c r="R96" s="46">
        <f t="shared" si="59"/>
        <v>0.42913043478260871</v>
      </c>
      <c r="S96" s="103">
        <f t="shared" si="60"/>
        <v>2.0001122573469212</v>
      </c>
      <c r="T96" s="46">
        <f t="shared" si="61"/>
        <v>0</v>
      </c>
      <c r="U96" s="46">
        <f t="shared" si="49"/>
        <v>0.42913043478260871</v>
      </c>
      <c r="V96" s="46">
        <f t="shared" si="62"/>
        <v>0</v>
      </c>
      <c r="W96" s="46">
        <f t="shared" si="50"/>
        <v>0</v>
      </c>
      <c r="X96" s="103">
        <f t="shared" si="51"/>
        <v>0</v>
      </c>
      <c r="Y96" s="46">
        <f>X96*Inputs!$B$8</f>
        <v>0</v>
      </c>
      <c r="Z96" s="170">
        <f t="shared" si="63"/>
        <v>257</v>
      </c>
      <c r="AA96" s="104">
        <f>IF(AND(Z96&gt;=255,C96&lt;=Inputs!$B$7,V96&gt;0),(($AN$22-$AN$21)/($AM$22-$AM$21)*(Z96-$AM$21)+$AN$21)*O96,0)</f>
        <v>0</v>
      </c>
      <c r="AB96" s="104">
        <f t="shared" si="52"/>
        <v>0</v>
      </c>
      <c r="AC96" s="46">
        <f t="shared" si="53"/>
        <v>0.42913043478260871</v>
      </c>
      <c r="AD96" s="46">
        <f t="shared" si="64"/>
        <v>0</v>
      </c>
      <c r="AE96" s="46">
        <f t="shared" si="54"/>
        <v>0</v>
      </c>
      <c r="AF96" s="103">
        <f>IF(S96&gt;0,(((R96/O96)*S96)*Inputs!$B$12)+((Q96/O96)*S96)*Inputs!$B$23,0)</f>
        <v>0.29150912305554355</v>
      </c>
      <c r="AG96" s="103">
        <f>IF(AA96&gt;0,(((W96/T96)*AA96)*Inputs!$B$12)+((V96/T96)*AA96)*Inputs!$B$23,0)</f>
        <v>0</v>
      </c>
      <c r="AH96" s="331">
        <f>IF(AB96&gt;0,((J96*Inputs!$B$18*Inputs!$B$43/$C$78)-O96),0)</f>
        <v>0</v>
      </c>
      <c r="AI96" s="331">
        <f>IFERROR(((R96/O96)*AH96)*((Inputs!$B$12)+(((Q96/O96)*AH96)*Inputs!$B$23)),0)</f>
        <v>0</v>
      </c>
      <c r="AJ96" s="47"/>
      <c r="AK96" s="47"/>
    </row>
    <row r="97" spans="2:37" ht="14.25" customHeight="1">
      <c r="B97" s="134">
        <v>0.58333333333333304</v>
      </c>
      <c r="C97" s="125">
        <f>Profiles!E46</f>
        <v>256</v>
      </c>
      <c r="D97" s="133">
        <f t="shared" si="55"/>
        <v>256</v>
      </c>
      <c r="E97" s="127">
        <v>0</v>
      </c>
      <c r="F97" s="127">
        <v>0</v>
      </c>
      <c r="G97" s="127">
        <v>0</v>
      </c>
      <c r="H97" s="127">
        <v>0</v>
      </c>
      <c r="I97" s="45">
        <f>Profiles!I20</f>
        <v>0.02</v>
      </c>
      <c r="J97" s="45">
        <f>Profiles!F46</f>
        <v>0.12</v>
      </c>
      <c r="K97" s="46">
        <f>Inputs!$B$9*Inputs!$A$43/$C$78*I97</f>
        <v>0.42913043478260871</v>
      </c>
      <c r="L97" s="46">
        <f t="shared" si="56"/>
        <v>1</v>
      </c>
      <c r="M97" s="114">
        <f>IF(Inputs!$B$26="Yes",VLOOKUP(D97,VWR[#All],2,FALSE),1)</f>
        <v>0.67999999999999994</v>
      </c>
      <c r="N97" s="114">
        <f>IF(Inputs!$B$27="Yes",VLOOKUP(D97,VVR[#All],2,FALSE),0)</f>
        <v>0.12</v>
      </c>
      <c r="O97" s="46">
        <f>(J97*Inputs!$B$18*Inputs!$B$43/$C$78)*M97</f>
        <v>2.0835211940362823</v>
      </c>
      <c r="P97" s="46">
        <f t="shared" si="57"/>
        <v>0</v>
      </c>
      <c r="Q97" s="46">
        <f t="shared" si="58"/>
        <v>1.6543907592536735</v>
      </c>
      <c r="R97" s="46">
        <f t="shared" si="59"/>
        <v>0.42913043478260871</v>
      </c>
      <c r="S97" s="103">
        <f t="shared" si="60"/>
        <v>2.0835211940362823</v>
      </c>
      <c r="T97" s="46">
        <f t="shared" si="61"/>
        <v>0</v>
      </c>
      <c r="U97" s="46">
        <f t="shared" si="49"/>
        <v>0.42913043478260871</v>
      </c>
      <c r="V97" s="46">
        <f t="shared" si="62"/>
        <v>0</v>
      </c>
      <c r="W97" s="46">
        <f t="shared" si="50"/>
        <v>0</v>
      </c>
      <c r="X97" s="103">
        <f t="shared" si="51"/>
        <v>0</v>
      </c>
      <c r="Y97" s="46">
        <f>X97*Inputs!$B$8</f>
        <v>0</v>
      </c>
      <c r="Z97" s="170">
        <f t="shared" si="63"/>
        <v>256</v>
      </c>
      <c r="AA97" s="104">
        <f>IF(AND(Z97&gt;=255,C97&lt;=Inputs!$B$7,V97&gt;0),(($AN$22-$AN$21)/($AM$22-$AM$21)*(Z97-$AM$21)+$AN$21)*O97,0)</f>
        <v>0</v>
      </c>
      <c r="AB97" s="104">
        <f t="shared" si="52"/>
        <v>0</v>
      </c>
      <c r="AC97" s="46">
        <f t="shared" si="53"/>
        <v>0.42913043478260871</v>
      </c>
      <c r="AD97" s="46">
        <f t="shared" si="64"/>
        <v>0</v>
      </c>
      <c r="AE97" s="46">
        <f t="shared" si="54"/>
        <v>0</v>
      </c>
      <c r="AF97" s="103">
        <f>IF(S97&gt;0,(((R97/O97)*S97)*Inputs!$B$12)+((Q97/O97)*S97)*Inputs!$B$23,0)</f>
        <v>0.30151819545826686</v>
      </c>
      <c r="AG97" s="103">
        <f>IF(AA97&gt;0,(((W97/T97)*AA97)*Inputs!$B$12)+((V97/T97)*AA97)*Inputs!$B$23,0)</f>
        <v>0</v>
      </c>
      <c r="AH97" s="331">
        <f>IF(AB97&gt;0,((J97*Inputs!$B$18*Inputs!$B$43/$C$78)-O97),0)</f>
        <v>0</v>
      </c>
      <c r="AI97" s="331">
        <f>IFERROR(((R97/O97)*AH97)*((Inputs!$B$12)+(((Q97/O97)*AH97)*Inputs!$B$23)),0)</f>
        <v>0</v>
      </c>
      <c r="AJ97" s="47"/>
      <c r="AK97" s="47"/>
    </row>
    <row r="98" spans="2:37" ht="14.25" customHeight="1">
      <c r="B98" s="134">
        <v>0.625</v>
      </c>
      <c r="C98" s="125">
        <f>Profiles!E47</f>
        <v>256</v>
      </c>
      <c r="D98" s="133">
        <f t="shared" si="55"/>
        <v>256</v>
      </c>
      <c r="E98" s="127">
        <v>0</v>
      </c>
      <c r="F98" s="127">
        <v>0</v>
      </c>
      <c r="G98" s="127">
        <v>0</v>
      </c>
      <c r="H98" s="127">
        <v>0</v>
      </c>
      <c r="I98" s="45">
        <f>Profiles!I21</f>
        <v>0.02</v>
      </c>
      <c r="J98" s="45">
        <f>Profiles!F47</f>
        <v>0.11</v>
      </c>
      <c r="K98" s="46">
        <f>Inputs!$B$9*Inputs!$A$43/$C$78*I98</f>
        <v>0.42913043478260871</v>
      </c>
      <c r="L98" s="46">
        <f t="shared" si="56"/>
        <v>1</v>
      </c>
      <c r="M98" s="114">
        <f>IF(Inputs!$B$26="Yes",VLOOKUP(D98,VWR[#All],2,FALSE),1)</f>
        <v>0.67999999999999994</v>
      </c>
      <c r="N98" s="114">
        <f>IF(Inputs!$B$27="Yes",VLOOKUP(D98,VVR[#All],2,FALSE),0)</f>
        <v>0.12</v>
      </c>
      <c r="O98" s="46">
        <f>(J98*Inputs!$B$18*Inputs!$B$43/$C$78)*M98</f>
        <v>1.9098944278665919</v>
      </c>
      <c r="P98" s="46">
        <f t="shared" si="57"/>
        <v>0</v>
      </c>
      <c r="Q98" s="46">
        <f t="shared" si="58"/>
        <v>1.4807639930839831</v>
      </c>
      <c r="R98" s="46">
        <f t="shared" si="59"/>
        <v>0.42913043478260871</v>
      </c>
      <c r="S98" s="103">
        <f t="shared" si="60"/>
        <v>1.9098944278665919</v>
      </c>
      <c r="T98" s="46">
        <f t="shared" si="61"/>
        <v>0</v>
      </c>
      <c r="U98" s="46">
        <f t="shared" si="49"/>
        <v>0.42913043478260871</v>
      </c>
      <c r="V98" s="46">
        <f t="shared" si="62"/>
        <v>0</v>
      </c>
      <c r="W98" s="46">
        <f t="shared" si="50"/>
        <v>0</v>
      </c>
      <c r="X98" s="103">
        <f t="shared" si="51"/>
        <v>0</v>
      </c>
      <c r="Y98" s="46">
        <f>X98*Inputs!$B$8</f>
        <v>0</v>
      </c>
      <c r="Z98" s="170">
        <f t="shared" si="63"/>
        <v>256</v>
      </c>
      <c r="AA98" s="104">
        <f>IF(AND(Z98&gt;=255,C98&lt;=Inputs!$B$7,V98&gt;0),(($AN$22-$AN$21)/($AM$22-$AM$21)*(Z98-$AM$21)+$AN$21)*O98,0)</f>
        <v>0</v>
      </c>
      <c r="AB98" s="104">
        <f t="shared" si="52"/>
        <v>0</v>
      </c>
      <c r="AC98" s="46">
        <f t="shared" si="53"/>
        <v>0.42913043478260871</v>
      </c>
      <c r="AD98" s="46">
        <f t="shared" si="64"/>
        <v>0</v>
      </c>
      <c r="AE98" s="46">
        <f t="shared" si="54"/>
        <v>0</v>
      </c>
      <c r="AF98" s="103">
        <f>IF(S98&gt;0,(((R98/O98)*S98)*Inputs!$B$12)+((Q98/O98)*S98)*Inputs!$B$23,0)</f>
        <v>0.28068298351790405</v>
      </c>
      <c r="AG98" s="103">
        <f>IF(AA98&gt;0,(((W98/T98)*AA98)*Inputs!$B$12)+((V98/T98)*AA98)*Inputs!$B$23,0)</f>
        <v>0</v>
      </c>
      <c r="AH98" s="331">
        <f>IF(AB98&gt;0,((J98*Inputs!$B$18*Inputs!$B$43/$C$78)-O98),0)</f>
        <v>0</v>
      </c>
      <c r="AI98" s="331">
        <f>IFERROR(((R98/O98)*AH98)*((Inputs!$B$12)+(((Q98/O98)*AH98)*Inputs!$B$23)),0)</f>
        <v>0</v>
      </c>
      <c r="AJ98" s="47"/>
      <c r="AK98" s="47"/>
    </row>
    <row r="99" spans="2:37" ht="14.25" customHeight="1">
      <c r="B99" s="134">
        <v>0.66666666666666696</v>
      </c>
      <c r="C99" s="125">
        <f>Profiles!E48</f>
        <v>255</v>
      </c>
      <c r="D99" s="133">
        <f t="shared" si="55"/>
        <v>255</v>
      </c>
      <c r="E99" s="127">
        <v>0</v>
      </c>
      <c r="F99" s="127">
        <v>0</v>
      </c>
      <c r="G99" s="127">
        <v>0</v>
      </c>
      <c r="H99" s="127">
        <v>0</v>
      </c>
      <c r="I99" s="45">
        <f>Profiles!I22</f>
        <v>0.05</v>
      </c>
      <c r="J99" s="45">
        <f>Profiles!F48</f>
        <v>0.08</v>
      </c>
      <c r="K99" s="46">
        <f>Inputs!$B$9*Inputs!$A$43/$C$78*I99</f>
        <v>1.0728260869565218</v>
      </c>
      <c r="L99" s="46">
        <f t="shared" si="56"/>
        <v>1</v>
      </c>
      <c r="M99" s="114">
        <f>IF(Inputs!$B$26="Yes",VLOOKUP(D99,VWR[#All],2,FALSE),1)</f>
        <v>0.73333333333333339</v>
      </c>
      <c r="N99" s="114">
        <f>IF(Inputs!$B$27="Yes",VLOOKUP(D99,VVR[#All],2,FALSE),0)</f>
        <v>0.1</v>
      </c>
      <c r="O99" s="46">
        <f>(J99*Inputs!$B$18*Inputs!$B$43/$C$78)*M99</f>
        <v>1.4979564140130135</v>
      </c>
      <c r="P99" s="46">
        <f t="shared" si="57"/>
        <v>0</v>
      </c>
      <c r="Q99" s="46">
        <f t="shared" si="58"/>
        <v>0.42513032705649167</v>
      </c>
      <c r="R99" s="46">
        <f t="shared" si="59"/>
        <v>1.0728260869565218</v>
      </c>
      <c r="S99" s="103">
        <f t="shared" si="60"/>
        <v>0</v>
      </c>
      <c r="T99" s="46">
        <f t="shared" si="61"/>
        <v>1.4979564140130135</v>
      </c>
      <c r="U99" s="46">
        <f t="shared" si="49"/>
        <v>0</v>
      </c>
      <c r="V99" s="46">
        <f t="shared" si="62"/>
        <v>0.42513032705649167</v>
      </c>
      <c r="W99" s="46">
        <f t="shared" si="50"/>
        <v>1.0728260869565218</v>
      </c>
      <c r="X99" s="103">
        <f t="shared" si="51"/>
        <v>1.6671777531627126</v>
      </c>
      <c r="Y99" s="46">
        <f>X99*Inputs!$B$8</f>
        <v>0.63352754620183083</v>
      </c>
      <c r="Z99" s="170">
        <f t="shared" si="63"/>
        <v>255.63352754620183</v>
      </c>
      <c r="AA99" s="104">
        <f>IF(AND(Z99&gt;=255,C99&lt;=Inputs!$B$7,V99&gt;0),(($AN$22-$AN$21)/($AM$22-$AM$21)*(Z99-$AM$21)+$AN$21)*O99,0)</f>
        <v>0.3445590674641984</v>
      </c>
      <c r="AB99" s="104">
        <f t="shared" si="52"/>
        <v>1.153397346548815</v>
      </c>
      <c r="AC99" s="46">
        <f t="shared" si="53"/>
        <v>0</v>
      </c>
      <c r="AD99" s="46">
        <f t="shared" si="64"/>
        <v>8.0571259592293165E-2</v>
      </c>
      <c r="AE99" s="46">
        <f t="shared" si="54"/>
        <v>1.0728260869565218</v>
      </c>
      <c r="AF99" s="103">
        <f>IF(S99&gt;0,(((R99/O99)*S99)*Inputs!$B$12)+((Q99/O99)*S99)*Inputs!$B$23,0)</f>
        <v>0</v>
      </c>
      <c r="AG99" s="103">
        <f>IF(AA99&gt;0,(((W99/T99)*AA99)*Inputs!$B$12)+((V99/T99)*AA99)*Inputs!$B$23,0)</f>
        <v>7.0959588375284793E-2</v>
      </c>
      <c r="AH99" s="331">
        <f>IF(AB99&gt;0,((J99*Inputs!$B$18*Inputs!$B$43/$C$78)-O99),0)</f>
        <v>0.54471142327745925</v>
      </c>
      <c r="AI99" s="331">
        <f>IFERROR(((R99/O99)*AH99)*((Inputs!$B$12)+(((Q99/O99)*AH99)*Inputs!$B$23)),0)</f>
        <v>0.10086560344039823</v>
      </c>
      <c r="AJ99" s="47"/>
      <c r="AK99" s="47"/>
    </row>
    <row r="100" spans="2:37" ht="14.25" customHeight="1">
      <c r="B100" s="134">
        <v>0.70833333333333304</v>
      </c>
      <c r="C100" s="125">
        <f>Profiles!E49</f>
        <v>254</v>
      </c>
      <c r="D100" s="133">
        <f t="shared" si="55"/>
        <v>254</v>
      </c>
      <c r="E100" s="127">
        <v>0</v>
      </c>
      <c r="F100" s="127">
        <v>0</v>
      </c>
      <c r="G100" s="127">
        <v>0</v>
      </c>
      <c r="H100" s="127">
        <v>0</v>
      </c>
      <c r="I100" s="45">
        <f>Profiles!I23</f>
        <v>0.08</v>
      </c>
      <c r="J100" s="45">
        <f>Profiles!F49</f>
        <v>4.4999999999999998E-2</v>
      </c>
      <c r="K100" s="46">
        <f>Inputs!$B$9*Inputs!$A$43/$C$78*I100</f>
        <v>1.7165217391304348</v>
      </c>
      <c r="L100" s="46">
        <f t="shared" si="56"/>
        <v>1</v>
      </c>
      <c r="M100" s="114">
        <f>IF(Inputs!$B$26="Yes",VLOOKUP(D100,VWR[#All],2,FALSE),1)</f>
        <v>0.78666666666666663</v>
      </c>
      <c r="N100" s="114">
        <f>IF(Inputs!$B$27="Yes",VLOOKUP(D100,VVR[#All],2,FALSE),0)</f>
        <v>0.08</v>
      </c>
      <c r="O100" s="46">
        <f>(J100*Inputs!$B$18*Inputs!$B$43/$C$78)*M100</f>
        <v>0.90388051800103419</v>
      </c>
      <c r="P100" s="46">
        <f t="shared" si="57"/>
        <v>0.81264122112940063</v>
      </c>
      <c r="Q100" s="46">
        <f t="shared" si="58"/>
        <v>0</v>
      </c>
      <c r="R100" s="46">
        <f t="shared" si="59"/>
        <v>0.90388051800103419</v>
      </c>
      <c r="S100" s="103">
        <f t="shared" si="60"/>
        <v>0</v>
      </c>
      <c r="T100" s="46">
        <f t="shared" si="61"/>
        <v>0.90388051800103419</v>
      </c>
      <c r="U100" s="46">
        <f t="shared" si="49"/>
        <v>0.81264122112940063</v>
      </c>
      <c r="V100" s="46">
        <f t="shared" si="62"/>
        <v>0</v>
      </c>
      <c r="W100" s="46">
        <f t="shared" si="50"/>
        <v>0.90388051800103419</v>
      </c>
      <c r="X100" s="103">
        <f t="shared" si="51"/>
        <v>0</v>
      </c>
      <c r="Y100" s="46">
        <f>X100*Inputs!$B$8</f>
        <v>0</v>
      </c>
      <c r="Z100" s="170">
        <f t="shared" si="63"/>
        <v>254</v>
      </c>
      <c r="AA100" s="104">
        <f>IF(AND(Z100&gt;=255,C100&lt;=Inputs!$B$7,V100&gt;0),(($AN$22-$AN$21)/($AM$22-$AM$21)*(Z100-$AM$21)+$AN$21)*O100,0)</f>
        <v>0</v>
      </c>
      <c r="AB100" s="104">
        <f t="shared" si="52"/>
        <v>0.90388051800103419</v>
      </c>
      <c r="AC100" s="46">
        <f t="shared" si="53"/>
        <v>0.81264122112940063</v>
      </c>
      <c r="AD100" s="46">
        <f t="shared" si="64"/>
        <v>0</v>
      </c>
      <c r="AE100" s="46">
        <f t="shared" si="54"/>
        <v>0.90388051800103419</v>
      </c>
      <c r="AF100" s="103">
        <f>IF(S100&gt;0,(((R100/O100)*S100)*Inputs!$B$12)+((Q100/O100)*S100)*Inputs!$B$23,0)</f>
        <v>0</v>
      </c>
      <c r="AG100" s="103">
        <f>IF(AA100&gt;0,(((W100/T100)*AA100)*Inputs!$B$12)+((V100/T100)*AA100)*Inputs!$B$23,0)</f>
        <v>0</v>
      </c>
      <c r="AH100" s="331">
        <f>IF(AB100&gt;0,((J100*Inputs!$B$18*Inputs!$B$43/$C$78)-O100),0)</f>
        <v>0.24512014047485675</v>
      </c>
      <c r="AI100" s="331">
        <f>IFERROR(((R100/O100)*AH100)*((Inputs!$B$12)+(((Q100/O100)*AH100)*Inputs!$B$23)),0)</f>
        <v>5.882883371396562E-2</v>
      </c>
      <c r="AJ100" s="47"/>
      <c r="AK100" s="47"/>
    </row>
    <row r="101" spans="2:37" ht="14.25" customHeight="1">
      <c r="B101" s="134">
        <v>0.75</v>
      </c>
      <c r="C101" s="125">
        <f>Profiles!E50</f>
        <v>254</v>
      </c>
      <c r="D101" s="133">
        <f t="shared" si="55"/>
        <v>254</v>
      </c>
      <c r="E101" s="127">
        <v>0</v>
      </c>
      <c r="F101" s="127">
        <v>0</v>
      </c>
      <c r="G101" s="127">
        <v>0</v>
      </c>
      <c r="H101" s="127">
        <v>0</v>
      </c>
      <c r="I101" s="45">
        <f>Profiles!I24</f>
        <v>0.12</v>
      </c>
      <c r="J101" s="45">
        <f>Profiles!F50</f>
        <v>0.02</v>
      </c>
      <c r="K101" s="46">
        <f>Inputs!$B$9*Inputs!$A$43/$C$78*I101</f>
        <v>2.574782608695652</v>
      </c>
      <c r="L101" s="46">
        <f t="shared" si="56"/>
        <v>1</v>
      </c>
      <c r="M101" s="114">
        <f>IF(Inputs!$B$26="Yes",VLOOKUP(D101,VWR[#All],2,FALSE),1)</f>
        <v>0.78666666666666663</v>
      </c>
      <c r="N101" s="114">
        <f>IF(Inputs!$B$27="Yes",VLOOKUP(D101,VVR[#All],2,FALSE),0)</f>
        <v>0.08</v>
      </c>
      <c r="O101" s="46">
        <f>(J101*Inputs!$B$18*Inputs!$B$43/$C$78)*M101</f>
        <v>0.4017246746671263</v>
      </c>
      <c r="P101" s="46">
        <f t="shared" si="57"/>
        <v>2.1730579340285257</v>
      </c>
      <c r="Q101" s="46">
        <f t="shared" si="58"/>
        <v>0</v>
      </c>
      <c r="R101" s="46">
        <f t="shared" si="59"/>
        <v>0.4017246746671263</v>
      </c>
      <c r="S101" s="103">
        <f t="shared" si="60"/>
        <v>0</v>
      </c>
      <c r="T101" s="46">
        <f t="shared" si="61"/>
        <v>0.4017246746671263</v>
      </c>
      <c r="U101" s="46">
        <f t="shared" si="49"/>
        <v>2.1730579340285257</v>
      </c>
      <c r="V101" s="46">
        <f t="shared" si="62"/>
        <v>0</v>
      </c>
      <c r="W101" s="46">
        <f t="shared" si="50"/>
        <v>0.4017246746671263</v>
      </c>
      <c r="X101" s="103">
        <f t="shared" si="51"/>
        <v>0</v>
      </c>
      <c r="Y101" s="46">
        <f>X101*Inputs!$B$8</f>
        <v>0</v>
      </c>
      <c r="Z101" s="170">
        <f t="shared" si="63"/>
        <v>254</v>
      </c>
      <c r="AA101" s="104">
        <f>IF(AND(Z101&gt;=255,C101&lt;=Inputs!$B$7,V101&gt;0),(($AN$22-$AN$21)/($AM$22-$AM$21)*(Z101-$AM$21)+$AN$21)*O101,0)</f>
        <v>0</v>
      </c>
      <c r="AB101" s="104">
        <f t="shared" si="52"/>
        <v>0.4017246746671263</v>
      </c>
      <c r="AC101" s="46">
        <f t="shared" si="53"/>
        <v>2.1730579340285257</v>
      </c>
      <c r="AD101" s="46">
        <f t="shared" si="64"/>
        <v>0</v>
      </c>
      <c r="AE101" s="46">
        <f t="shared" si="54"/>
        <v>0.4017246746671263</v>
      </c>
      <c r="AF101" s="103">
        <f>IF(S101&gt;0,(((R101/O101)*S101)*Inputs!$B$12)+((Q101/O101)*S101)*Inputs!$B$23,0)</f>
        <v>0</v>
      </c>
      <c r="AG101" s="103">
        <f>IF(AA101&gt;0,(((W101/T101)*AA101)*Inputs!$B$12)+((V101/T101)*AA101)*Inputs!$B$23,0)</f>
        <v>0</v>
      </c>
      <c r="AH101" s="331">
        <f>IF(AB101&gt;0,((J101*Inputs!$B$18*Inputs!$B$43/$C$78)-O101),0)</f>
        <v>0.10894228465549188</v>
      </c>
      <c r="AI101" s="331">
        <f>IFERROR(((R101/O101)*AH101)*((Inputs!$B$12)+(((Q101/O101)*AH101)*Inputs!$B$23)),0)</f>
        <v>2.6146148317318051E-2</v>
      </c>
      <c r="AJ101" s="47"/>
      <c r="AK101" s="47"/>
    </row>
    <row r="102" spans="2:37" ht="14.25" customHeight="1">
      <c r="B102" s="134">
        <v>0.79166666666666696</v>
      </c>
      <c r="C102" s="125">
        <f>Profiles!E51</f>
        <v>255</v>
      </c>
      <c r="D102" s="133">
        <f t="shared" si="55"/>
        <v>255</v>
      </c>
      <c r="E102" s="127">
        <v>0</v>
      </c>
      <c r="F102" s="127">
        <v>0</v>
      </c>
      <c r="G102" s="127">
        <v>0</v>
      </c>
      <c r="H102" s="127">
        <v>0</v>
      </c>
      <c r="I102" s="45">
        <f>Profiles!I25</f>
        <v>0.12</v>
      </c>
      <c r="J102" s="45">
        <f>Profiles!F51</f>
        <v>0</v>
      </c>
      <c r="K102" s="46">
        <f>Inputs!$B$9*Inputs!$A$43/$C$78*I102</f>
        <v>2.574782608695652</v>
      </c>
      <c r="L102" s="46">
        <f t="shared" si="56"/>
        <v>1</v>
      </c>
      <c r="M102" s="114">
        <f>IF(Inputs!$B$26="Yes",VLOOKUP(D102,VWR[#All],2,FALSE),1)</f>
        <v>0.73333333333333339</v>
      </c>
      <c r="N102" s="114">
        <f>IF(Inputs!$B$27="Yes",VLOOKUP(D102,VVR[#All],2,FALSE),0)</f>
        <v>0.1</v>
      </c>
      <c r="O102" s="46">
        <f>(J102*Inputs!$B$18*Inputs!$B$43/$C$78)*M102</f>
        <v>0</v>
      </c>
      <c r="P102" s="46">
        <f t="shared" si="57"/>
        <v>2.574782608695652</v>
      </c>
      <c r="Q102" s="46">
        <f t="shared" si="58"/>
        <v>0</v>
      </c>
      <c r="R102" s="46">
        <f t="shared" si="59"/>
        <v>0</v>
      </c>
      <c r="S102" s="103">
        <f t="shared" si="60"/>
        <v>0</v>
      </c>
      <c r="T102" s="46">
        <f t="shared" si="61"/>
        <v>0</v>
      </c>
      <c r="U102" s="46">
        <f t="shared" si="49"/>
        <v>2.574782608695652</v>
      </c>
      <c r="V102" s="46">
        <f t="shared" si="62"/>
        <v>0</v>
      </c>
      <c r="W102" s="46">
        <f t="shared" si="50"/>
        <v>0</v>
      </c>
      <c r="X102" s="103">
        <f t="shared" si="51"/>
        <v>0</v>
      </c>
      <c r="Y102" s="46">
        <f>X102*Inputs!$B$8</f>
        <v>0</v>
      </c>
      <c r="Z102" s="170">
        <f t="shared" si="63"/>
        <v>255</v>
      </c>
      <c r="AA102" s="104">
        <f>IF(AND(Z102&gt;=255,C102&lt;=Inputs!$B$7,V102&gt;0),(($AN$22-$AN$21)/($AM$22-$AM$21)*(Z102-$AM$21)+$AN$21)*O102,0)</f>
        <v>0</v>
      </c>
      <c r="AB102" s="104">
        <f t="shared" si="52"/>
        <v>0</v>
      </c>
      <c r="AC102" s="46">
        <f t="shared" si="53"/>
        <v>2.574782608695652</v>
      </c>
      <c r="AD102" s="46">
        <f t="shared" si="64"/>
        <v>0</v>
      </c>
      <c r="AE102" s="46">
        <f t="shared" si="54"/>
        <v>0</v>
      </c>
      <c r="AF102" s="103">
        <f>IF(S102&gt;0,(((R102/O102)*S102)*Inputs!$B$12)+((Q102/O102)*S102)*Inputs!$B$23,0)</f>
        <v>0</v>
      </c>
      <c r="AG102" s="103">
        <f>IF(AA102&gt;0,(((W102/T102)*AA102)*Inputs!$B$12)+((V102/T102)*AA102)*Inputs!$B$23,0)</f>
        <v>0</v>
      </c>
      <c r="AH102" s="331">
        <f>IF(AB102&gt;0,((J102*Inputs!$B$18*Inputs!$B$43/$C$78)-O102),0)</f>
        <v>0</v>
      </c>
      <c r="AI102" s="331">
        <f>IFERROR(((R102/O102)*AH102)*((Inputs!$B$12)+(((Q102/O102)*AH102)*Inputs!$B$23)),0)</f>
        <v>0</v>
      </c>
      <c r="AJ102" s="47"/>
      <c r="AK102" s="47"/>
    </row>
    <row r="103" spans="2:37" ht="14.25" customHeight="1">
      <c r="B103" s="134">
        <v>0.83333333333333304</v>
      </c>
      <c r="C103" s="125">
        <f>Profiles!E52</f>
        <v>255</v>
      </c>
      <c r="D103" s="133">
        <f t="shared" si="55"/>
        <v>255</v>
      </c>
      <c r="E103" s="127">
        <v>0</v>
      </c>
      <c r="F103" s="127">
        <v>0</v>
      </c>
      <c r="G103" s="127">
        <v>0</v>
      </c>
      <c r="H103" s="127">
        <v>0</v>
      </c>
      <c r="I103" s="45">
        <f>Profiles!I26</f>
        <v>0.08</v>
      </c>
      <c r="J103" s="45">
        <f>Profiles!F52</f>
        <v>0</v>
      </c>
      <c r="K103" s="46">
        <f>Inputs!$B$9*Inputs!$A$43/$C$78*I103</f>
        <v>1.7165217391304348</v>
      </c>
      <c r="L103" s="46">
        <f>IF(D103=C103,1,0)</f>
        <v>1</v>
      </c>
      <c r="M103" s="114">
        <f>IF(Inputs!$B$26="Yes",VLOOKUP(D103,VWR[#All],2,FALSE),1)</f>
        <v>0.73333333333333339</v>
      </c>
      <c r="N103" s="114">
        <f>IF(Inputs!$B$27="Yes",VLOOKUP(D103,VVR[#All],2,FALSE),0)</f>
        <v>0.1</v>
      </c>
      <c r="O103" s="46">
        <f>(J103*Inputs!$B$18*Inputs!$B$43/$C$78)*M103</f>
        <v>0</v>
      </c>
      <c r="P103" s="46">
        <f t="shared" si="57"/>
        <v>1.7165217391304348</v>
      </c>
      <c r="Q103" s="46">
        <f>IF(O103&gt;K103,MIN((O103-K103),5),0)</f>
        <v>0</v>
      </c>
      <c r="R103" s="46">
        <f t="shared" si="59"/>
        <v>0</v>
      </c>
      <c r="S103" s="103">
        <f t="shared" si="60"/>
        <v>0</v>
      </c>
      <c r="T103" s="46">
        <f t="shared" si="61"/>
        <v>0</v>
      </c>
      <c r="U103" s="46">
        <f t="shared" si="49"/>
        <v>1.7165217391304348</v>
      </c>
      <c r="V103" s="46">
        <f t="shared" si="62"/>
        <v>0</v>
      </c>
      <c r="W103" s="46">
        <f t="shared" si="50"/>
        <v>0</v>
      </c>
      <c r="X103" s="103">
        <f t="shared" si="51"/>
        <v>0</v>
      </c>
      <c r="Y103" s="46">
        <f>X103*Inputs!$B$8</f>
        <v>0</v>
      </c>
      <c r="Z103" s="170">
        <f t="shared" si="63"/>
        <v>255</v>
      </c>
      <c r="AA103" s="104">
        <f>IF(AND(Z103&gt;=255,C103&lt;=Inputs!$B$7,V103&gt;0),(($AN$22-$AN$21)/($AM$22-$AM$21)*(Z103-$AM$21)+$AN$21)*O103,0)</f>
        <v>0</v>
      </c>
      <c r="AB103" s="104">
        <f t="shared" si="52"/>
        <v>0</v>
      </c>
      <c r="AC103" s="46">
        <f t="shared" si="53"/>
        <v>1.7165217391304348</v>
      </c>
      <c r="AD103" s="46">
        <f t="shared" si="64"/>
        <v>0</v>
      </c>
      <c r="AE103" s="46">
        <f t="shared" si="54"/>
        <v>0</v>
      </c>
      <c r="AF103" s="103">
        <f>IF(S103&gt;0,(((R103/O103)*S103)*Inputs!$B$12)+((Q103/O103)*S103)*Inputs!$B$23,0)</f>
        <v>0</v>
      </c>
      <c r="AG103" s="103">
        <f>IF(AA103&gt;0,(((W103/T103)*AA103)*Inputs!$B$12)+((V103/T103)*AA103)*Inputs!$B$23,0)</f>
        <v>0</v>
      </c>
      <c r="AH103" s="331">
        <f>IF(AB103&gt;0,((J103*Inputs!$B$18*Inputs!$B$43/$C$78)-O103),0)</f>
        <v>0</v>
      </c>
      <c r="AI103" s="331">
        <f>IFERROR(((R103/O103)*AH103)*((Inputs!$B$12)+(((Q103/O103)*AH103)*Inputs!$B$23)),0)</f>
        <v>0</v>
      </c>
      <c r="AJ103" s="47"/>
      <c r="AK103" s="47"/>
    </row>
    <row r="104" spans="2:37" ht="14.25" customHeight="1">
      <c r="B104" s="134">
        <v>0.875</v>
      </c>
      <c r="C104" s="125">
        <f>Profiles!E53</f>
        <v>255</v>
      </c>
      <c r="D104" s="133">
        <f t="shared" si="55"/>
        <v>255</v>
      </c>
      <c r="E104" s="127">
        <v>0</v>
      </c>
      <c r="F104" s="127">
        <v>0</v>
      </c>
      <c r="G104" s="127">
        <v>0</v>
      </c>
      <c r="H104" s="127">
        <v>0</v>
      </c>
      <c r="I104" s="45">
        <f>Profiles!I27</f>
        <v>0.06</v>
      </c>
      <c r="J104" s="45">
        <f>Profiles!F53</f>
        <v>0</v>
      </c>
      <c r="K104" s="46">
        <f>Inputs!$B$9*Inputs!$A$43/$C$78*I104</f>
        <v>1.287391304347826</v>
      </c>
      <c r="L104" s="46">
        <f t="shared" si="56"/>
        <v>1</v>
      </c>
      <c r="M104" s="114">
        <f>IF(Inputs!$B$26="Yes",VLOOKUP(D104,VWR[#All],2,FALSE),1)</f>
        <v>0.73333333333333339</v>
      </c>
      <c r="N104" s="114">
        <f>IF(Inputs!$B$27="Yes",VLOOKUP(D104,VVR[#All],2,FALSE),0)</f>
        <v>0.1</v>
      </c>
      <c r="O104" s="46">
        <f>(J104*Inputs!$B$18*Inputs!$B$43/$C$78)*M104</f>
        <v>0</v>
      </c>
      <c r="P104" s="46">
        <f t="shared" si="57"/>
        <v>1.287391304347826</v>
      </c>
      <c r="Q104" s="46">
        <f t="shared" si="58"/>
        <v>0</v>
      </c>
      <c r="R104" s="46">
        <f t="shared" si="59"/>
        <v>0</v>
      </c>
      <c r="S104" s="103">
        <f t="shared" si="60"/>
        <v>0</v>
      </c>
      <c r="T104" s="46">
        <f t="shared" si="61"/>
        <v>0</v>
      </c>
      <c r="U104" s="46">
        <f t="shared" si="49"/>
        <v>1.287391304347826</v>
      </c>
      <c r="V104" s="46">
        <f t="shared" si="62"/>
        <v>0</v>
      </c>
      <c r="W104" s="46">
        <f t="shared" si="50"/>
        <v>0</v>
      </c>
      <c r="X104" s="103">
        <f t="shared" si="51"/>
        <v>0</v>
      </c>
      <c r="Y104" s="46">
        <f>X104*Inputs!$B$8</f>
        <v>0</v>
      </c>
      <c r="Z104" s="170">
        <f t="shared" si="63"/>
        <v>255</v>
      </c>
      <c r="AA104" s="104">
        <f>IF(AND(Z104&gt;=255,C104&lt;=Inputs!$B$7,V104&gt;0),(($AN$22-$AN$21)/($AM$22-$AM$21)*(Z104-$AM$21)+$AN$21)*O104,0)</f>
        <v>0</v>
      </c>
      <c r="AB104" s="104">
        <f t="shared" si="52"/>
        <v>0</v>
      </c>
      <c r="AC104" s="46">
        <f t="shared" si="53"/>
        <v>1.287391304347826</v>
      </c>
      <c r="AD104" s="46">
        <f t="shared" si="64"/>
        <v>0</v>
      </c>
      <c r="AE104" s="46">
        <f t="shared" si="54"/>
        <v>0</v>
      </c>
      <c r="AF104" s="103">
        <f>IF(S104&gt;0,(((R104/O104)*S104)*Inputs!$B$12)+((Q104/O104)*S104)*Inputs!$B$23,0)</f>
        <v>0</v>
      </c>
      <c r="AG104" s="103">
        <f>IF(AA104&gt;0,(((W104/T104)*AA104)*Inputs!$B$12)+((V104/T104)*AA104)*Inputs!$B$23,0)</f>
        <v>0</v>
      </c>
      <c r="AH104" s="331">
        <f>IF(AB104&gt;0,((J104*Inputs!$B$18*Inputs!$B$43/$C$78)-O104),0)</f>
        <v>0</v>
      </c>
      <c r="AI104" s="331">
        <f>IFERROR(((R104/O104)*AH104)*((Inputs!$B$12)+(((Q104/O104)*AH104)*Inputs!$B$23)),0)</f>
        <v>0</v>
      </c>
      <c r="AJ104" s="47"/>
      <c r="AK104" s="47"/>
    </row>
    <row r="105" spans="2:37" ht="14.25" customHeight="1">
      <c r="B105" s="134">
        <v>0.91666666666666696</v>
      </c>
      <c r="C105" s="125">
        <f>Profiles!E54</f>
        <v>255</v>
      </c>
      <c r="D105" s="133">
        <f t="shared" si="55"/>
        <v>255</v>
      </c>
      <c r="E105" s="127">
        <v>0</v>
      </c>
      <c r="F105" s="127">
        <v>0</v>
      </c>
      <c r="G105" s="127">
        <v>0</v>
      </c>
      <c r="H105" s="127">
        <v>0</v>
      </c>
      <c r="I105" s="45">
        <f>Profiles!I28</f>
        <v>0.03</v>
      </c>
      <c r="J105" s="45">
        <f>Profiles!F54</f>
        <v>0</v>
      </c>
      <c r="K105" s="46">
        <f>Inputs!$B$9*Inputs!$A$43/$C$78*I105</f>
        <v>0.643695652173913</v>
      </c>
      <c r="L105" s="46">
        <f t="shared" si="56"/>
        <v>1</v>
      </c>
      <c r="M105" s="114">
        <f>IF(Inputs!$B$26="Yes",VLOOKUP(D105,VWR[#All],2,FALSE),1)</f>
        <v>0.73333333333333339</v>
      </c>
      <c r="N105" s="114">
        <f>IF(Inputs!$B$27="Yes",VLOOKUP(D105,VVR[#All],2,FALSE),0)</f>
        <v>0.1</v>
      </c>
      <c r="O105" s="46">
        <f>(J105*Inputs!$B$18*Inputs!$B$43/$C$78)*M105</f>
        <v>0</v>
      </c>
      <c r="P105" s="46">
        <f t="shared" si="57"/>
        <v>0.643695652173913</v>
      </c>
      <c r="Q105" s="46">
        <f t="shared" si="58"/>
        <v>0</v>
      </c>
      <c r="R105" s="46">
        <f t="shared" si="59"/>
        <v>0</v>
      </c>
      <c r="S105" s="103">
        <f t="shared" si="60"/>
        <v>0</v>
      </c>
      <c r="T105" s="46">
        <f t="shared" si="61"/>
        <v>0</v>
      </c>
      <c r="U105" s="46">
        <f t="shared" si="49"/>
        <v>0.643695652173913</v>
      </c>
      <c r="V105" s="46">
        <f t="shared" si="62"/>
        <v>0</v>
      </c>
      <c r="W105" s="46">
        <f t="shared" si="50"/>
        <v>0</v>
      </c>
      <c r="X105" s="103">
        <f t="shared" si="51"/>
        <v>0</v>
      </c>
      <c r="Y105" s="46">
        <f>X105*Inputs!$B$8</f>
        <v>0</v>
      </c>
      <c r="Z105" s="170">
        <f t="shared" si="63"/>
        <v>255</v>
      </c>
      <c r="AA105" s="104">
        <f>IF(AND(Z105&gt;=255,C105&lt;=Inputs!$B$7,V105&gt;0),(($AN$22-$AN$21)/($AM$22-$AM$21)*(Z105-$AM$21)+$AN$21)*O105,0)</f>
        <v>0</v>
      </c>
      <c r="AB105" s="104">
        <f t="shared" si="52"/>
        <v>0</v>
      </c>
      <c r="AC105" s="46">
        <f t="shared" si="53"/>
        <v>0.643695652173913</v>
      </c>
      <c r="AD105" s="46">
        <f t="shared" si="64"/>
        <v>0</v>
      </c>
      <c r="AE105" s="46">
        <f t="shared" si="54"/>
        <v>0</v>
      </c>
      <c r="AF105" s="103">
        <f>IF(S105&gt;0,(((R105/O105)*S105)*Inputs!$B$12)+((Q105/O105)*S105)*Inputs!$B$23,0)</f>
        <v>0</v>
      </c>
      <c r="AG105" s="103">
        <f>IF(AA105&gt;0,(((W105/T105)*AA105)*Inputs!$B$12)+((V105/T105)*AA105)*Inputs!$B$23,0)</f>
        <v>0</v>
      </c>
      <c r="AH105" s="331">
        <f>IF(AB105&gt;0,((J105*Inputs!$B$18*Inputs!$B$43/$C$78)-O105),0)</f>
        <v>0</v>
      </c>
      <c r="AI105" s="331">
        <f>IFERROR(((R105/O105)*AH105)*((Inputs!$B$12)+(((Q105/O105)*AH105)*Inputs!$B$23)),0)</f>
        <v>0</v>
      </c>
      <c r="AJ105" s="47"/>
      <c r="AK105" s="47"/>
    </row>
    <row r="106" spans="2:37" ht="14.25" customHeight="1">
      <c r="B106" s="134">
        <v>0.95833333333333304</v>
      </c>
      <c r="C106" s="125">
        <f>Profiles!E55</f>
        <v>255</v>
      </c>
      <c r="D106" s="133">
        <f t="shared" si="55"/>
        <v>255</v>
      </c>
      <c r="E106" s="127">
        <v>0</v>
      </c>
      <c r="F106" s="127">
        <v>0</v>
      </c>
      <c r="G106" s="127">
        <v>0</v>
      </c>
      <c r="H106" s="127">
        <v>0</v>
      </c>
      <c r="I106" s="45">
        <f>Profiles!I29</f>
        <v>0.01</v>
      </c>
      <c r="J106" s="45">
        <f>Profiles!F55</f>
        <v>0</v>
      </c>
      <c r="K106" s="46">
        <f>Inputs!$B$9*Inputs!$A$43/$C$78*I106</f>
        <v>0.21456521739130435</v>
      </c>
      <c r="L106" s="46">
        <f t="shared" si="56"/>
        <v>1</v>
      </c>
      <c r="M106" s="114">
        <f>IF(Inputs!$B$26="Yes",VLOOKUP(D106,VWR[#All],2,FALSE),1)</f>
        <v>0.73333333333333339</v>
      </c>
      <c r="N106" s="114">
        <f>IF(Inputs!$B$27="Yes",VLOOKUP(D106,VVR[#All],2,FALSE),0)</f>
        <v>0.1</v>
      </c>
      <c r="O106" s="46">
        <f>(J106*Inputs!$B$18*Inputs!$B$43/$C$78)*M106</f>
        <v>0</v>
      </c>
      <c r="P106" s="46">
        <f t="shared" si="57"/>
        <v>0.21456521739130435</v>
      </c>
      <c r="Q106" s="46">
        <f t="shared" si="58"/>
        <v>0</v>
      </c>
      <c r="R106" s="46">
        <f t="shared" si="59"/>
        <v>0</v>
      </c>
      <c r="S106" s="103">
        <f t="shared" si="60"/>
        <v>0</v>
      </c>
      <c r="T106" s="46">
        <f t="shared" si="61"/>
        <v>0</v>
      </c>
      <c r="U106" s="46">
        <f t="shared" si="49"/>
        <v>0.21456521739130435</v>
      </c>
      <c r="V106" s="46">
        <f t="shared" si="62"/>
        <v>0</v>
      </c>
      <c r="W106" s="46">
        <f t="shared" si="50"/>
        <v>0</v>
      </c>
      <c r="X106" s="103">
        <f t="shared" si="51"/>
        <v>0</v>
      </c>
      <c r="Y106" s="46">
        <f>X106*Inputs!$B$8</f>
        <v>0</v>
      </c>
      <c r="Z106" s="170">
        <f t="shared" si="63"/>
        <v>255</v>
      </c>
      <c r="AA106" s="104">
        <f>IF(AND(Z106&gt;=255,C106&lt;=Inputs!$B$7,V106&gt;0),(($AN$22-$AN$21)/($AM$22-$AM$21)*(Z106-$AM$21)+$AN$21)*O106,0)</f>
        <v>0</v>
      </c>
      <c r="AB106" s="104">
        <f t="shared" si="52"/>
        <v>0</v>
      </c>
      <c r="AC106" s="46">
        <f t="shared" si="53"/>
        <v>0.21456521739130435</v>
      </c>
      <c r="AD106" s="46">
        <f t="shared" si="64"/>
        <v>0</v>
      </c>
      <c r="AE106" s="46">
        <f t="shared" si="54"/>
        <v>0</v>
      </c>
      <c r="AF106" s="103">
        <f>IF(S106&gt;0,(((R106/O106)*S106)*Inputs!$B$12)+((Q106/O106)*S106)*Inputs!$B$23,0)</f>
        <v>0</v>
      </c>
      <c r="AG106" s="103">
        <f>IF(AA106&gt;0,(((W106/T106)*AA106)*Inputs!$B$12)+((V106/T106)*AA106)*Inputs!$B$23,0)</f>
        <v>0</v>
      </c>
      <c r="AH106" s="331">
        <f>IF(AB106&gt;0,((J106*Inputs!$B$18*Inputs!$B$43/$C$78)-O106),0)</f>
        <v>0</v>
      </c>
      <c r="AI106" s="331">
        <f>IFERROR(((R106/O106)*AH106)*((Inputs!$B$12)+(((Q106/O106)*AH106)*Inputs!$B$23)),0)</f>
        <v>0</v>
      </c>
      <c r="AJ106" s="47"/>
      <c r="AK106" s="47"/>
    </row>
    <row r="107" spans="2:37" ht="14.25" customHeight="1">
      <c r="S107" s="46"/>
    </row>
    <row r="108" spans="2:37" ht="18" customHeight="1">
      <c r="B108" s="144" t="s">
        <v>108</v>
      </c>
      <c r="C108" s="144">
        <f>91-D108</f>
        <v>91</v>
      </c>
      <c r="D108" s="116">
        <f>((7-Inputs!$B$13)*4*3)</f>
        <v>0</v>
      </c>
      <c r="E108" s="116"/>
      <c r="F108" s="116"/>
      <c r="G108" s="116"/>
      <c r="H108" s="116"/>
      <c r="S108" s="46"/>
    </row>
    <row r="109" spans="2:37" ht="18" customHeight="1">
      <c r="B109" s="50" t="s">
        <v>109</v>
      </c>
      <c r="C109" s="117"/>
      <c r="D109" s="117"/>
      <c r="E109" s="117"/>
      <c r="F109" s="117"/>
      <c r="G109" s="117"/>
      <c r="H109" s="117"/>
      <c r="I109" s="349" t="s">
        <v>70</v>
      </c>
      <c r="J109" s="350"/>
      <c r="K109" s="351" t="s">
        <v>71</v>
      </c>
      <c r="L109" s="351"/>
      <c r="M109" s="351"/>
      <c r="N109" s="351"/>
      <c r="O109" s="351"/>
      <c r="P109" s="351"/>
      <c r="Q109" s="351"/>
      <c r="R109" s="351"/>
      <c r="S109" s="352" t="s">
        <v>72</v>
      </c>
      <c r="T109" s="352"/>
      <c r="U109" s="352"/>
      <c r="V109" s="352"/>
      <c r="W109" s="352"/>
      <c r="X109" s="353" t="s">
        <v>73</v>
      </c>
      <c r="Y109" s="354"/>
      <c r="Z109" s="354"/>
      <c r="AA109" s="355"/>
      <c r="AB109" s="356" t="s">
        <v>105</v>
      </c>
      <c r="AC109" s="357"/>
      <c r="AD109" s="357"/>
      <c r="AE109" s="358"/>
      <c r="AF109" s="359" t="s">
        <v>75</v>
      </c>
      <c r="AG109" s="360"/>
      <c r="AH109" s="361" t="s">
        <v>252</v>
      </c>
      <c r="AI109" s="361"/>
      <c r="AJ109" s="361"/>
      <c r="AK109" s="361"/>
    </row>
    <row r="110" spans="2:37" ht="50.25" customHeight="1">
      <c r="B110" s="38" t="s">
        <v>76</v>
      </c>
      <c r="C110" s="129" t="s">
        <v>23</v>
      </c>
      <c r="D110" s="129" t="s">
        <v>24</v>
      </c>
      <c r="E110" s="129" t="s">
        <v>77</v>
      </c>
      <c r="F110" s="129" t="s">
        <v>78</v>
      </c>
      <c r="G110" s="129" t="s">
        <v>79</v>
      </c>
      <c r="H110" s="129" t="s">
        <v>80</v>
      </c>
      <c r="I110" s="39" t="s">
        <v>81</v>
      </c>
      <c r="J110" s="39" t="s">
        <v>82</v>
      </c>
      <c r="K110" s="39" t="s">
        <v>83</v>
      </c>
      <c r="L110" s="39" t="s">
        <v>84</v>
      </c>
      <c r="M110" s="39" t="s">
        <v>240</v>
      </c>
      <c r="N110" s="39" t="s">
        <v>248</v>
      </c>
      <c r="O110" s="39" t="s">
        <v>85</v>
      </c>
      <c r="P110" s="39" t="s">
        <v>86</v>
      </c>
      <c r="Q110" s="39" t="s">
        <v>87</v>
      </c>
      <c r="R110" s="39" t="s">
        <v>88</v>
      </c>
      <c r="S110" s="39" t="s">
        <v>89</v>
      </c>
      <c r="T110" s="39" t="s">
        <v>85</v>
      </c>
      <c r="U110" s="39" t="s">
        <v>86</v>
      </c>
      <c r="V110" s="39" t="s">
        <v>87</v>
      </c>
      <c r="W110" s="39" t="s">
        <v>88</v>
      </c>
      <c r="X110" s="39" t="s">
        <v>90</v>
      </c>
      <c r="Y110" s="39" t="s">
        <v>91</v>
      </c>
      <c r="Z110" s="39" t="s">
        <v>92</v>
      </c>
      <c r="AA110" s="39" t="s">
        <v>93</v>
      </c>
      <c r="AB110" s="39" t="s">
        <v>85</v>
      </c>
      <c r="AC110" s="39" t="s">
        <v>86</v>
      </c>
      <c r="AD110" s="39" t="s">
        <v>87</v>
      </c>
      <c r="AE110" s="39" t="s">
        <v>88</v>
      </c>
      <c r="AF110" s="39" t="s">
        <v>94</v>
      </c>
      <c r="AG110" s="39" t="s">
        <v>95</v>
      </c>
      <c r="AH110" s="39" t="s">
        <v>253</v>
      </c>
      <c r="AI110" s="39" t="s">
        <v>253</v>
      </c>
      <c r="AJ110" s="39" t="s">
        <v>243</v>
      </c>
      <c r="AK110" s="39" t="s">
        <v>243</v>
      </c>
    </row>
    <row r="111" spans="2:37" ht="14.25" customHeight="1">
      <c r="B111" s="38"/>
      <c r="C111" s="132" t="s">
        <v>98</v>
      </c>
      <c r="D111" s="130" t="s">
        <v>98</v>
      </c>
      <c r="E111" s="131"/>
      <c r="F111" s="131"/>
      <c r="G111" s="131"/>
      <c r="H111" s="131"/>
      <c r="I111" s="39" t="s">
        <v>99</v>
      </c>
      <c r="J111" s="39" t="s">
        <v>99</v>
      </c>
      <c r="K111" s="39" t="s">
        <v>100</v>
      </c>
      <c r="L111" s="39" t="s">
        <v>101</v>
      </c>
      <c r="M111" s="39" t="s">
        <v>101</v>
      </c>
      <c r="N111" s="39" t="s">
        <v>101</v>
      </c>
      <c r="O111" s="39" t="s">
        <v>100</v>
      </c>
      <c r="P111" s="39" t="s">
        <v>100</v>
      </c>
      <c r="Q111" s="39" t="s">
        <v>100</v>
      </c>
      <c r="R111" s="39" t="s">
        <v>100</v>
      </c>
      <c r="S111" s="39" t="s">
        <v>100</v>
      </c>
      <c r="T111" s="39" t="s">
        <v>100</v>
      </c>
      <c r="U111" s="39" t="s">
        <v>100</v>
      </c>
      <c r="V111" s="39" t="s">
        <v>100</v>
      </c>
      <c r="W111" s="39" t="s">
        <v>100</v>
      </c>
      <c r="X111" s="39" t="s">
        <v>102</v>
      </c>
      <c r="Y111" s="39" t="s">
        <v>98</v>
      </c>
      <c r="Z111" s="39" t="s">
        <v>98</v>
      </c>
      <c r="AA111" s="39" t="s">
        <v>100</v>
      </c>
      <c r="AB111" s="39" t="s">
        <v>100</v>
      </c>
      <c r="AC111" s="39" t="s">
        <v>100</v>
      </c>
      <c r="AD111" s="39" t="s">
        <v>100</v>
      </c>
      <c r="AE111" s="39" t="s">
        <v>100</v>
      </c>
      <c r="AF111" s="39" t="s">
        <v>67</v>
      </c>
      <c r="AG111" s="39" t="s">
        <v>67</v>
      </c>
      <c r="AH111" s="39" t="s">
        <v>100</v>
      </c>
      <c r="AI111" s="39" t="s">
        <v>67</v>
      </c>
      <c r="AJ111" s="39" t="s">
        <v>100</v>
      </c>
      <c r="AK111" s="39" t="s">
        <v>67</v>
      </c>
    </row>
    <row r="112" spans="2:37" ht="14.25" customHeight="1">
      <c r="B112" s="41" t="s">
        <v>20</v>
      </c>
      <c r="C112" s="119"/>
      <c r="D112" s="119"/>
      <c r="E112" s="119"/>
      <c r="F112" s="119"/>
      <c r="G112" s="119"/>
      <c r="H112" s="119"/>
      <c r="I112" s="42">
        <f t="shared" ref="I112:J112" si="65">SUM(I113:I136)</f>
        <v>1.0000000000000002</v>
      </c>
      <c r="J112" s="42">
        <f t="shared" si="65"/>
        <v>1</v>
      </c>
      <c r="K112" s="43">
        <f>SUM(K113:K136)</f>
        <v>23.261538461538464</v>
      </c>
      <c r="L112" s="155">
        <f>SUM(L113:L136)/24</f>
        <v>1</v>
      </c>
      <c r="M112" s="43"/>
      <c r="N112" s="340">
        <f>AVERAGE(N113:N136)</f>
        <v>0.10166666666666672</v>
      </c>
      <c r="O112" s="43">
        <f>SUM(O113:O136)</f>
        <v>25.378799222383169</v>
      </c>
      <c r="P112" s="43">
        <f>SUM(P113:P136)</f>
        <v>15.715842300068612</v>
      </c>
      <c r="Q112" s="43">
        <f t="shared" ref="Q112" si="66">SUM(Q113:Q136)</f>
        <v>17.83310306091332</v>
      </c>
      <c r="R112" s="43">
        <f t="shared" ref="R112" si="67">SUM(R113:R136)</f>
        <v>7.5456961614698486</v>
      </c>
      <c r="S112" s="43">
        <f t="shared" ref="S112" si="68">SUM(S113:S136)</f>
        <v>17.088129061523215</v>
      </c>
      <c r="T112" s="43">
        <f>SUM(T113:T136)</f>
        <v>8.2906701608599533</v>
      </c>
      <c r="U112" s="43">
        <f>SUM(U113:U136)</f>
        <v>18.507226915453227</v>
      </c>
      <c r="V112" s="43">
        <f>SUM(V113:V136)</f>
        <v>3.5363586147747199</v>
      </c>
      <c r="W112" s="43">
        <f>SUM(W113:W136)</f>
        <v>4.7543115460852334</v>
      </c>
      <c r="X112" s="43">
        <f>AVERAGEIFS(X113:X136,V113:V136,"&gt;0")</f>
        <v>4.6435087925752514</v>
      </c>
      <c r="Y112" s="43">
        <f>AVERAGEIFS(Y113:Y136,V113:V136,"&gt;0")</f>
        <v>1.7645333411785955</v>
      </c>
      <c r="Z112" s="171">
        <f>AVERAGEIFS(Z113:Z136,V113:V136,"&gt;0")</f>
        <v>256.09786667451198</v>
      </c>
      <c r="AA112" s="43">
        <f t="shared" ref="AA112:AK112" si="69">SUM(AA113:AA136)</f>
        <v>1.6490444406594795</v>
      </c>
      <c r="AB112" s="43">
        <f t="shared" si="69"/>
        <v>6.6416257202004738</v>
      </c>
      <c r="AC112" s="43">
        <f t="shared" si="69"/>
        <v>18.507226915453227</v>
      </c>
      <c r="AD112" s="43">
        <f t="shared" si="69"/>
        <v>1.8873141741152406</v>
      </c>
      <c r="AE112" s="43">
        <f t="shared" si="69"/>
        <v>4.7543115460852334</v>
      </c>
      <c r="AF112" s="43">
        <f t="shared" si="69"/>
        <v>2.3855416412289392</v>
      </c>
      <c r="AG112" s="43">
        <f t="shared" si="69"/>
        <v>0.27746071320492161</v>
      </c>
      <c r="AH112" s="43">
        <f t="shared" si="69"/>
        <v>1.3517911488907512</v>
      </c>
      <c r="AI112" s="43">
        <f t="shared" si="69"/>
        <v>0.21596581273145032</v>
      </c>
      <c r="AJ112" s="43">
        <f t="shared" si="69"/>
        <v>0</v>
      </c>
      <c r="AK112" s="43">
        <f t="shared" si="69"/>
        <v>0</v>
      </c>
    </row>
    <row r="113" spans="2:37" ht="14.25" customHeight="1">
      <c r="B113" s="134">
        <v>0</v>
      </c>
      <c r="C113" s="123">
        <f>Profiles!E32</f>
        <v>255</v>
      </c>
      <c r="D113" s="133">
        <f>C113</f>
        <v>255</v>
      </c>
      <c r="E113" s="127">
        <v>0</v>
      </c>
      <c r="F113" s="127">
        <v>0</v>
      </c>
      <c r="G113" s="127">
        <v>0</v>
      </c>
      <c r="H113" s="127">
        <v>0</v>
      </c>
      <c r="I113" s="45">
        <f>Profiles!I6</f>
        <v>0.01</v>
      </c>
      <c r="J113" s="45">
        <f>Profiles!F32</f>
        <v>0</v>
      </c>
      <c r="K113" s="46">
        <f>Inputs!$B$9*Inputs!$A$44/$C$108*I113</f>
        <v>0.23261538461538464</v>
      </c>
      <c r="L113" s="46">
        <f>IF(D113=C113,1,0)</f>
        <v>1</v>
      </c>
      <c r="M113" s="114">
        <f>IF(Inputs!$B$26="Yes",VLOOKUP(D113,VWR[#All],2,FALSE),1)</f>
        <v>0.73333333333333339</v>
      </c>
      <c r="N113" s="114">
        <f>IF(Inputs!$B$27="Yes",VLOOKUP(D113,VVR[#All],2,FALSE),0)</f>
        <v>0.1</v>
      </c>
      <c r="O113" s="46">
        <f>(J113*Inputs!$B$18*Inputs!$B$44/$C$108)*M113</f>
        <v>0</v>
      </c>
      <c r="P113" s="46">
        <f>IF(O113&gt;K113,0,K113-O113)</f>
        <v>0.23261538461538464</v>
      </c>
      <c r="Q113" s="46">
        <f>IF(O113&gt;K113,MIN((O113-K113),5),0)</f>
        <v>0</v>
      </c>
      <c r="R113" s="46">
        <f>IF(O113&gt;K113,K113,O113)</f>
        <v>0</v>
      </c>
      <c r="S113" s="103">
        <f>IF(D113&gt;255,O113,0)</f>
        <v>0</v>
      </c>
      <c r="T113" s="46">
        <f>O113-S113</f>
        <v>0</v>
      </c>
      <c r="U113" s="46">
        <f t="shared" ref="U113:U136" si="70">IF(T113&gt;K113,0,K113-T113)</f>
        <v>0.23261538461538464</v>
      </c>
      <c r="V113" s="46">
        <f>IF(T113&gt;K113,MIN((T113-K113),5),0)</f>
        <v>0</v>
      </c>
      <c r="W113" s="46">
        <f t="shared" ref="W113:W136" si="71">IF(T113&gt;K113,K113,T113)</f>
        <v>0</v>
      </c>
      <c r="X113" s="103">
        <f t="shared" ref="X113:X136" si="72">V113*1000/C113</f>
        <v>0</v>
      </c>
      <c r="Y113" s="46">
        <f>X113*Inputs!$B$8</f>
        <v>0</v>
      </c>
      <c r="Z113" s="170">
        <f>Y113+D113</f>
        <v>255</v>
      </c>
      <c r="AA113" s="104">
        <f>IF(AND(Z113&gt;=255,C113&lt;=Inputs!$B$7,V113&gt;0),(($AN$22-$AN$21)/($AM$22-$AM$21)*(Z113-$AM$21)+$AN$21)*T113,0)</f>
        <v>0</v>
      </c>
      <c r="AB113" s="104">
        <f t="shared" ref="AB113:AB136" si="73">T113-AA113</f>
        <v>0</v>
      </c>
      <c r="AC113" s="46">
        <f t="shared" ref="AC113:AC136" si="74">IF(AB113&gt;K113,0,K113-AB113)</f>
        <v>0.23261538461538464</v>
      </c>
      <c r="AD113" s="46">
        <f>IF(AB113&gt;K113,MIN((AB113-K113),5),0)</f>
        <v>0</v>
      </c>
      <c r="AE113" s="46">
        <f t="shared" ref="AE113:AE136" si="75">IF(AB113&gt;K113,K113,AB113)</f>
        <v>0</v>
      </c>
      <c r="AF113" s="103">
        <f>IF(S113&gt;0,(((R113/O113)*S113)*Inputs!$B$12)+((Q113/O113)*S113)*Inputs!$B$23,0)</f>
        <v>0</v>
      </c>
      <c r="AG113" s="103">
        <f>IF(AA113&gt;0,(((W113/T113)*AA113)*Inputs!$B$12)+((V113/T113)*AA113)*Inputs!$B$23,0)</f>
        <v>0</v>
      </c>
      <c r="AH113" s="331">
        <f>IF(AB113&gt;0,((J113*Inputs!$B$18*Inputs!$B$44/$C$108)-O113),0)</f>
        <v>0</v>
      </c>
      <c r="AI113" s="331">
        <f>IFERROR(((R113/O113)*AH113)*((Inputs!$B$12)+(((Q113/O113)*AH113)*Inputs!$B$23)),0)</f>
        <v>0</v>
      </c>
    </row>
    <row r="114" spans="2:37" ht="14.25" customHeight="1">
      <c r="B114" s="134">
        <v>4.1666666666666664E-2</v>
      </c>
      <c r="C114" s="124">
        <f>Profiles!E33</f>
        <v>255</v>
      </c>
      <c r="D114" s="133">
        <f t="shared" ref="D114:D136" si="76">C114</f>
        <v>255</v>
      </c>
      <c r="E114" s="127">
        <v>0</v>
      </c>
      <c r="F114" s="127">
        <v>0</v>
      </c>
      <c r="G114" s="127">
        <v>0</v>
      </c>
      <c r="H114" s="127">
        <v>0</v>
      </c>
      <c r="I114" s="45">
        <f>Profiles!I7</f>
        <v>0.01</v>
      </c>
      <c r="J114" s="45">
        <f>Profiles!F33</f>
        <v>0</v>
      </c>
      <c r="K114" s="46">
        <f>Inputs!$B$9*Inputs!$A$44/$C$108*I114</f>
        <v>0.23261538461538464</v>
      </c>
      <c r="L114" s="46">
        <f t="shared" ref="L114:L136" si="77">IF(D114=C114,1,0)</f>
        <v>1</v>
      </c>
      <c r="M114" s="114">
        <f>IF(Inputs!$B$26="Yes",VLOOKUP(D114,VWR[#All],2,FALSE),1)</f>
        <v>0.73333333333333339</v>
      </c>
      <c r="N114" s="114">
        <f>IF(Inputs!$B$27="Yes",VLOOKUP(D114,VVR[#All],2,FALSE),0)</f>
        <v>0.1</v>
      </c>
      <c r="O114" s="46">
        <f>(J114*Inputs!$B$18*Inputs!$B$44/$C$108)*M114</f>
        <v>0</v>
      </c>
      <c r="P114" s="46">
        <f t="shared" ref="P114:P136" si="78">IF(O114&gt;K114,0,K114-O114)</f>
        <v>0.23261538461538464</v>
      </c>
      <c r="Q114" s="46">
        <f t="shared" ref="Q114:Q136" si="79">IF(O114&gt;K114,MIN((O114-K114),5),0)</f>
        <v>0</v>
      </c>
      <c r="R114" s="46">
        <f t="shared" ref="R114:R136" si="80">IF(O114&gt;K114,K114,O114)</f>
        <v>0</v>
      </c>
      <c r="S114" s="103">
        <f t="shared" ref="S114:S136" si="81">IF(D114&gt;255,O114,0)</f>
        <v>0</v>
      </c>
      <c r="T114" s="46">
        <f t="shared" ref="T114:T136" si="82">O114-S114</f>
        <v>0</v>
      </c>
      <c r="U114" s="46">
        <f t="shared" si="70"/>
        <v>0.23261538461538464</v>
      </c>
      <c r="V114" s="46">
        <f t="shared" ref="V114:V136" si="83">IF(T114&gt;K114,MIN((T114-K114),5),0)</f>
        <v>0</v>
      </c>
      <c r="W114" s="46">
        <f t="shared" si="71"/>
        <v>0</v>
      </c>
      <c r="X114" s="103">
        <f t="shared" si="72"/>
        <v>0</v>
      </c>
      <c r="Y114" s="46">
        <f>X114*Inputs!$B$8</f>
        <v>0</v>
      </c>
      <c r="Z114" s="170">
        <f t="shared" ref="Z114:Z136" si="84">Y114+D114</f>
        <v>255</v>
      </c>
      <c r="AA114" s="104">
        <f>IF(AND(Z114&gt;=255,C114&lt;=Inputs!$B$7,V114&gt;0),(($AN$22-$AN$21)/($AM$22-$AM$21)*(Z114-$AM$21)+$AN$21)*O114,0)</f>
        <v>0</v>
      </c>
      <c r="AB114" s="104">
        <f t="shared" si="73"/>
        <v>0</v>
      </c>
      <c r="AC114" s="46">
        <f t="shared" si="74"/>
        <v>0.23261538461538464</v>
      </c>
      <c r="AD114" s="46">
        <f t="shared" ref="AD114:AD136" si="85">IF(AB114&gt;K114,MIN((AB114-K114),5),0)</f>
        <v>0</v>
      </c>
      <c r="AE114" s="46">
        <f t="shared" si="75"/>
        <v>0</v>
      </c>
      <c r="AF114" s="103">
        <f>IF(S114&gt;0,(((R114/O114)*S114)*Inputs!$B$12)+((Q114/O114)*S114)*Inputs!$B$23,0)</f>
        <v>0</v>
      </c>
      <c r="AG114" s="103">
        <f>IF(AA114&gt;0,(((W114/T114)*AA114)*Inputs!$B$12)+((V114/T114)*AA114)*Inputs!$B$23,0)</f>
        <v>0</v>
      </c>
      <c r="AH114" s="331">
        <f>IF(AB114&gt;0,((J114*Inputs!$B$18*Inputs!$B$41/$C$108)-O114),0)</f>
        <v>0</v>
      </c>
      <c r="AI114" s="331">
        <f>IFERROR(((R114/O114)*AH114)*((Inputs!$B$12)+(((Q114/O114)*AH114)*Inputs!$B$23)),0)</f>
        <v>0</v>
      </c>
    </row>
    <row r="115" spans="2:37" ht="14.25" customHeight="1">
      <c r="B115" s="134">
        <v>8.3333333333333329E-2</v>
      </c>
      <c r="C115" s="125">
        <f>Profiles!E34</f>
        <v>255</v>
      </c>
      <c r="D115" s="133">
        <f t="shared" si="76"/>
        <v>255</v>
      </c>
      <c r="E115" s="127">
        <v>0</v>
      </c>
      <c r="F115" s="127">
        <v>0</v>
      </c>
      <c r="G115" s="127">
        <v>0</v>
      </c>
      <c r="H115" s="127">
        <v>0</v>
      </c>
      <c r="I115" s="45">
        <f>Profiles!I8</f>
        <v>0.01</v>
      </c>
      <c r="J115" s="45">
        <f>Profiles!F34</f>
        <v>0</v>
      </c>
      <c r="K115" s="46">
        <f>Inputs!$B$9*Inputs!$A$44/$C$108*I115</f>
        <v>0.23261538461538464</v>
      </c>
      <c r="L115" s="46">
        <f t="shared" si="77"/>
        <v>1</v>
      </c>
      <c r="M115" s="114">
        <f>IF(Inputs!$B$26="Yes",VLOOKUP(D115,VWR[#All],2,FALSE),1)</f>
        <v>0.73333333333333339</v>
      </c>
      <c r="N115" s="114">
        <f>IF(Inputs!$B$27="Yes",VLOOKUP(D115,VVR[#All],2,FALSE),0)</f>
        <v>0.1</v>
      </c>
      <c r="O115" s="46">
        <f>(J115*Inputs!$B$18*Inputs!$B$44/$C$108)*M115</f>
        <v>0</v>
      </c>
      <c r="P115" s="46">
        <f t="shared" si="78"/>
        <v>0.23261538461538464</v>
      </c>
      <c r="Q115" s="46">
        <f t="shared" si="79"/>
        <v>0</v>
      </c>
      <c r="R115" s="46">
        <f t="shared" si="80"/>
        <v>0</v>
      </c>
      <c r="S115" s="103">
        <f t="shared" si="81"/>
        <v>0</v>
      </c>
      <c r="T115" s="46">
        <f t="shared" si="82"/>
        <v>0</v>
      </c>
      <c r="U115" s="46">
        <f t="shared" si="70"/>
        <v>0.23261538461538464</v>
      </c>
      <c r="V115" s="46">
        <f t="shared" si="83"/>
        <v>0</v>
      </c>
      <c r="W115" s="46">
        <f t="shared" si="71"/>
        <v>0</v>
      </c>
      <c r="X115" s="103">
        <f t="shared" si="72"/>
        <v>0</v>
      </c>
      <c r="Y115" s="46">
        <f>X115*Inputs!$B$8</f>
        <v>0</v>
      </c>
      <c r="Z115" s="170">
        <f t="shared" si="84"/>
        <v>255</v>
      </c>
      <c r="AA115" s="104">
        <f>IF(AND(Z115&gt;=255,C115&lt;=Inputs!$B$7,V115&gt;0),(($AN$22-$AN$21)/($AM$22-$AM$21)*(Z115-$AM$21)+$AN$21)*O115,0)</f>
        <v>0</v>
      </c>
      <c r="AB115" s="104">
        <f t="shared" si="73"/>
        <v>0</v>
      </c>
      <c r="AC115" s="46">
        <f t="shared" si="74"/>
        <v>0.23261538461538464</v>
      </c>
      <c r="AD115" s="46">
        <f t="shared" si="85"/>
        <v>0</v>
      </c>
      <c r="AE115" s="46">
        <f t="shared" si="75"/>
        <v>0</v>
      </c>
      <c r="AF115" s="103">
        <f>IF(S115&gt;0,(((R115/O115)*S115)*Inputs!$B$12)+((Q115/O115)*S115)*Inputs!$B$23,0)</f>
        <v>0</v>
      </c>
      <c r="AG115" s="103">
        <f>IF(AA115&gt;0,(((W115/T115)*AA115)*Inputs!$B$12)+((V115/T115)*AA115)*Inputs!$B$23,0)</f>
        <v>0</v>
      </c>
      <c r="AH115" s="331">
        <f>IF(AB115&gt;0,((J115*Inputs!$B$18*Inputs!$B$41/$C$108)-O115),0)</f>
        <v>0</v>
      </c>
      <c r="AI115" s="331">
        <f>IFERROR(((R115/O115)*AH115)*((Inputs!$B$12)+(((Q115/O115)*AH115)*Inputs!$B$23)),0)</f>
        <v>0</v>
      </c>
    </row>
    <row r="116" spans="2:37" ht="14.25" customHeight="1">
      <c r="B116" s="134">
        <v>0.125</v>
      </c>
      <c r="C116" s="125">
        <f>Profiles!E35</f>
        <v>255</v>
      </c>
      <c r="D116" s="133">
        <f t="shared" si="76"/>
        <v>255</v>
      </c>
      <c r="E116" s="127">
        <v>0</v>
      </c>
      <c r="F116" s="127">
        <v>0</v>
      </c>
      <c r="G116" s="127">
        <v>0</v>
      </c>
      <c r="H116" s="127">
        <v>0</v>
      </c>
      <c r="I116" s="45">
        <f>Profiles!I9</f>
        <v>0.01</v>
      </c>
      <c r="J116" s="45">
        <f>Profiles!F35</f>
        <v>0</v>
      </c>
      <c r="K116" s="46">
        <f>Inputs!$B$9*Inputs!$A$44/$C$108*I116</f>
        <v>0.23261538461538464</v>
      </c>
      <c r="L116" s="46">
        <f t="shared" si="77"/>
        <v>1</v>
      </c>
      <c r="M116" s="114">
        <f>IF(Inputs!$B$26="Yes",VLOOKUP(D116,VWR[#All],2,FALSE),1)</f>
        <v>0.73333333333333339</v>
      </c>
      <c r="N116" s="114">
        <f>IF(Inputs!$B$27="Yes",VLOOKUP(D116,VVR[#All],2,FALSE),0)</f>
        <v>0.1</v>
      </c>
      <c r="O116" s="46">
        <f>(J116*Inputs!$B$18*Inputs!$B$44/$C$108)*M116</f>
        <v>0</v>
      </c>
      <c r="P116" s="46">
        <f t="shared" si="78"/>
        <v>0.23261538461538464</v>
      </c>
      <c r="Q116" s="46">
        <f t="shared" si="79"/>
        <v>0</v>
      </c>
      <c r="R116" s="46">
        <f t="shared" si="80"/>
        <v>0</v>
      </c>
      <c r="S116" s="103">
        <f t="shared" si="81"/>
        <v>0</v>
      </c>
      <c r="T116" s="46">
        <f t="shared" si="82"/>
        <v>0</v>
      </c>
      <c r="U116" s="46">
        <f t="shared" si="70"/>
        <v>0.23261538461538464</v>
      </c>
      <c r="V116" s="46">
        <f t="shared" si="83"/>
        <v>0</v>
      </c>
      <c r="W116" s="46">
        <f t="shared" si="71"/>
        <v>0</v>
      </c>
      <c r="X116" s="103">
        <f t="shared" si="72"/>
        <v>0</v>
      </c>
      <c r="Y116" s="46">
        <f>X116*Inputs!$B$8</f>
        <v>0</v>
      </c>
      <c r="Z116" s="170">
        <f t="shared" si="84"/>
        <v>255</v>
      </c>
      <c r="AA116" s="104">
        <f>IF(AND(Z116&gt;=255,C116&lt;=Inputs!$B$7,V116&gt;0),(($AN$22-$AN$21)/($AM$22-$AM$21)*(Z116-$AM$21)+$AN$21)*O116,0)</f>
        <v>0</v>
      </c>
      <c r="AB116" s="104">
        <f t="shared" si="73"/>
        <v>0</v>
      </c>
      <c r="AC116" s="46">
        <f t="shared" si="74"/>
        <v>0.23261538461538464</v>
      </c>
      <c r="AD116" s="46">
        <f t="shared" si="85"/>
        <v>0</v>
      </c>
      <c r="AE116" s="46">
        <f t="shared" si="75"/>
        <v>0</v>
      </c>
      <c r="AF116" s="103">
        <f>IF(S116&gt;0,(((R116/O116)*S116)*Inputs!$B$12)+((Q116/O116)*S116)*Inputs!$B$23,0)</f>
        <v>0</v>
      </c>
      <c r="AG116" s="103">
        <f>IF(AA116&gt;0,(((W116/T116)*AA116)*Inputs!$B$12)+((V116/T116)*AA116)*Inputs!$B$23,0)</f>
        <v>0</v>
      </c>
      <c r="AH116" s="331">
        <f>IF(AB116&gt;0,((J116*Inputs!$B$18*Inputs!$B$41/$C$108)-O116),0)</f>
        <v>0</v>
      </c>
      <c r="AI116" s="331">
        <f>IFERROR(((R116/O116)*AH116)*((Inputs!$B$12)+(((Q116/O116)*AH116)*Inputs!$B$23)),0)</f>
        <v>0</v>
      </c>
      <c r="AJ116" s="47"/>
      <c r="AK116" s="47"/>
    </row>
    <row r="117" spans="2:37" ht="14.25" customHeight="1">
      <c r="B117" s="134">
        <v>0.16666666666666699</v>
      </c>
      <c r="C117" s="125">
        <f>Profiles!E36</f>
        <v>255</v>
      </c>
      <c r="D117" s="133">
        <f t="shared" si="76"/>
        <v>255</v>
      </c>
      <c r="E117" s="127">
        <v>0</v>
      </c>
      <c r="F117" s="127">
        <v>0</v>
      </c>
      <c r="G117" s="127">
        <v>0</v>
      </c>
      <c r="H117" s="127">
        <v>0</v>
      </c>
      <c r="I117" s="45">
        <f>Profiles!I10</f>
        <v>0.01</v>
      </c>
      <c r="J117" s="45">
        <f>Profiles!F36</f>
        <v>0</v>
      </c>
      <c r="K117" s="46">
        <f>Inputs!$B$9*Inputs!$A$44/$C$108*I117</f>
        <v>0.23261538461538464</v>
      </c>
      <c r="L117" s="46">
        <f t="shared" si="77"/>
        <v>1</v>
      </c>
      <c r="M117" s="114">
        <f>IF(Inputs!$B$26="Yes",VLOOKUP(D117,VWR[#All],2,FALSE),1)</f>
        <v>0.73333333333333339</v>
      </c>
      <c r="N117" s="114">
        <f>IF(Inputs!$B$27="Yes",VLOOKUP(D117,VVR[#All],2,FALSE),0)</f>
        <v>0.1</v>
      </c>
      <c r="O117" s="46">
        <f>(J117*Inputs!$B$18*Inputs!$B$44/$C$108)*M117</f>
        <v>0</v>
      </c>
      <c r="P117" s="46">
        <f t="shared" si="78"/>
        <v>0.23261538461538464</v>
      </c>
      <c r="Q117" s="46">
        <f t="shared" si="79"/>
        <v>0</v>
      </c>
      <c r="R117" s="46">
        <f t="shared" si="80"/>
        <v>0</v>
      </c>
      <c r="S117" s="103">
        <f t="shared" si="81"/>
        <v>0</v>
      </c>
      <c r="T117" s="46">
        <f t="shared" si="82"/>
        <v>0</v>
      </c>
      <c r="U117" s="46">
        <f t="shared" si="70"/>
        <v>0.23261538461538464</v>
      </c>
      <c r="V117" s="46">
        <f t="shared" si="83"/>
        <v>0</v>
      </c>
      <c r="W117" s="46">
        <f t="shared" si="71"/>
        <v>0</v>
      </c>
      <c r="X117" s="103">
        <f t="shared" si="72"/>
        <v>0</v>
      </c>
      <c r="Y117" s="46">
        <f>X117*Inputs!$B$8</f>
        <v>0</v>
      </c>
      <c r="Z117" s="170">
        <f t="shared" si="84"/>
        <v>255</v>
      </c>
      <c r="AA117" s="104">
        <f>IF(AND(Z117&gt;=255,C117&lt;=Inputs!$B$7,V117&gt;0),(($AN$22-$AN$21)/($AM$22-$AM$21)*(Z117-$AM$21)+$AN$21)*O117,0)</f>
        <v>0</v>
      </c>
      <c r="AB117" s="104">
        <f t="shared" si="73"/>
        <v>0</v>
      </c>
      <c r="AC117" s="46">
        <f t="shared" si="74"/>
        <v>0.23261538461538464</v>
      </c>
      <c r="AD117" s="46">
        <f t="shared" si="85"/>
        <v>0</v>
      </c>
      <c r="AE117" s="46">
        <f t="shared" si="75"/>
        <v>0</v>
      </c>
      <c r="AF117" s="103">
        <f>IF(S117&gt;0,(((R117/O117)*S117)*Inputs!$B$12)+((Q117/O117)*S117)*Inputs!$B$23,0)</f>
        <v>0</v>
      </c>
      <c r="AG117" s="103">
        <f>IF(AA117&gt;0,(((W117/T117)*AA117)*Inputs!$B$12)+((V117/T117)*AA117)*Inputs!$B$23,0)</f>
        <v>0</v>
      </c>
      <c r="AH117" s="331">
        <f>IF(AB117&gt;0,((J117*Inputs!$B$18*Inputs!$B$41/$C$108)-O117),0)</f>
        <v>0</v>
      </c>
      <c r="AI117" s="331">
        <f>IFERROR(((R117/O117)*AH117)*((Inputs!$B$12)+(((Q117/O117)*AH117)*Inputs!$B$23)),0)</f>
        <v>0</v>
      </c>
      <c r="AJ117" s="47"/>
      <c r="AK117" s="47"/>
    </row>
    <row r="118" spans="2:37" ht="14.25" customHeight="1">
      <c r="B118" s="134">
        <v>0.20833333333333301</v>
      </c>
      <c r="C118" s="125">
        <f>Profiles!E37</f>
        <v>253</v>
      </c>
      <c r="D118" s="133">
        <f t="shared" si="76"/>
        <v>253</v>
      </c>
      <c r="E118" s="127">
        <v>0</v>
      </c>
      <c r="F118" s="127">
        <v>0</v>
      </c>
      <c r="G118" s="127">
        <v>0</v>
      </c>
      <c r="H118" s="127">
        <v>0</v>
      </c>
      <c r="I118" s="45">
        <f>Profiles!I11</f>
        <v>0.01</v>
      </c>
      <c r="J118" s="45">
        <f>Profiles!F37</f>
        <v>0</v>
      </c>
      <c r="K118" s="46">
        <f>Inputs!$B$9*Inputs!$A$44/$C$108*I118</f>
        <v>0.23261538461538464</v>
      </c>
      <c r="L118" s="46">
        <f t="shared" si="77"/>
        <v>1</v>
      </c>
      <c r="M118" s="114">
        <f>IF(Inputs!$B$26="Yes",VLOOKUP(D118,VWR[#All],2,FALSE),1)</f>
        <v>0.84</v>
      </c>
      <c r="N118" s="114">
        <f>IF(Inputs!$B$27="Yes",VLOOKUP(D118,VVR[#All],2,FALSE),0)</f>
        <v>0.06</v>
      </c>
      <c r="O118" s="46">
        <f>(J118*Inputs!$B$18*Inputs!$B$44/$C$108)*M118</f>
        <v>0</v>
      </c>
      <c r="P118" s="46">
        <f t="shared" si="78"/>
        <v>0.23261538461538464</v>
      </c>
      <c r="Q118" s="46">
        <f t="shared" si="79"/>
        <v>0</v>
      </c>
      <c r="R118" s="46">
        <f t="shared" si="80"/>
        <v>0</v>
      </c>
      <c r="S118" s="103">
        <f t="shared" si="81"/>
        <v>0</v>
      </c>
      <c r="T118" s="46">
        <f t="shared" si="82"/>
        <v>0</v>
      </c>
      <c r="U118" s="46">
        <f t="shared" si="70"/>
        <v>0.23261538461538464</v>
      </c>
      <c r="V118" s="46">
        <f t="shared" si="83"/>
        <v>0</v>
      </c>
      <c r="W118" s="46">
        <f t="shared" si="71"/>
        <v>0</v>
      </c>
      <c r="X118" s="103">
        <f t="shared" si="72"/>
        <v>0</v>
      </c>
      <c r="Y118" s="46">
        <f>X118*Inputs!$B$8</f>
        <v>0</v>
      </c>
      <c r="Z118" s="170">
        <f t="shared" si="84"/>
        <v>253</v>
      </c>
      <c r="AA118" s="104">
        <f>IF(AND(Z118&gt;=255,C118&lt;=Inputs!$B$7,V118&gt;0),(($AN$22-$AN$21)/($AM$22-$AM$21)*(Z118-$AM$21)+$AN$21)*O118,0)</f>
        <v>0</v>
      </c>
      <c r="AB118" s="104">
        <f t="shared" si="73"/>
        <v>0</v>
      </c>
      <c r="AC118" s="46">
        <f t="shared" si="74"/>
        <v>0.23261538461538464</v>
      </c>
      <c r="AD118" s="46">
        <f t="shared" si="85"/>
        <v>0</v>
      </c>
      <c r="AE118" s="46">
        <f t="shared" si="75"/>
        <v>0</v>
      </c>
      <c r="AF118" s="103">
        <f>IF(S118&gt;0,(((R118/O118)*S118)*Inputs!$B$12)+((Q118/O118)*S118)*Inputs!$B$23,0)</f>
        <v>0</v>
      </c>
      <c r="AG118" s="103">
        <f>IF(AA118&gt;0,(((W118/T118)*AA118)*Inputs!$B$12)+((V118/T118)*AA118)*Inputs!$B$23,0)</f>
        <v>0</v>
      </c>
      <c r="AH118" s="331">
        <f>IF(AB118&gt;0,((J118*Inputs!$B$18*Inputs!$B$41/$C$108)-O118),0)</f>
        <v>0</v>
      </c>
      <c r="AI118" s="331">
        <f>IFERROR(((R118/O118)*AH118)*((Inputs!$B$12)+(((Q118/O118)*AH118)*Inputs!$B$23)),0)</f>
        <v>0</v>
      </c>
      <c r="AJ118" s="47"/>
      <c r="AK118" s="47"/>
    </row>
    <row r="119" spans="2:37" ht="14.25" customHeight="1">
      <c r="B119" s="134">
        <v>0.25</v>
      </c>
      <c r="C119" s="125">
        <f>Profiles!E38</f>
        <v>254</v>
      </c>
      <c r="D119" s="133">
        <f t="shared" si="76"/>
        <v>254</v>
      </c>
      <c r="E119" s="127">
        <v>0</v>
      </c>
      <c r="F119" s="127">
        <v>0</v>
      </c>
      <c r="G119" s="127">
        <v>0</v>
      </c>
      <c r="H119" s="127">
        <v>0</v>
      </c>
      <c r="I119" s="45">
        <f>Profiles!I12</f>
        <v>0.1</v>
      </c>
      <c r="J119" s="45">
        <f>Profiles!F38</f>
        <v>0</v>
      </c>
      <c r="K119" s="46">
        <f>Inputs!$B$9*Inputs!$A$44/$C$108*I119</f>
        <v>2.3261538461538467</v>
      </c>
      <c r="L119" s="46">
        <f t="shared" si="77"/>
        <v>1</v>
      </c>
      <c r="M119" s="114">
        <f>IF(Inputs!$B$26="Yes",VLOOKUP(D119,VWR[#All],2,FALSE),1)</f>
        <v>0.78666666666666663</v>
      </c>
      <c r="N119" s="114">
        <f>IF(Inputs!$B$27="Yes",VLOOKUP(D119,VVR[#All],2,FALSE),0)</f>
        <v>0.08</v>
      </c>
      <c r="O119" s="46">
        <f>(J119*Inputs!$B$18*Inputs!$B$44/$C$108)*M119</f>
        <v>0</v>
      </c>
      <c r="P119" s="46">
        <f t="shared" si="78"/>
        <v>2.3261538461538467</v>
      </c>
      <c r="Q119" s="46">
        <f t="shared" si="79"/>
        <v>0</v>
      </c>
      <c r="R119" s="46">
        <f t="shared" si="80"/>
        <v>0</v>
      </c>
      <c r="S119" s="103">
        <f t="shared" si="81"/>
        <v>0</v>
      </c>
      <c r="T119" s="46">
        <f t="shared" si="82"/>
        <v>0</v>
      </c>
      <c r="U119" s="46">
        <f t="shared" si="70"/>
        <v>2.3261538461538467</v>
      </c>
      <c r="V119" s="46">
        <f t="shared" si="83"/>
        <v>0</v>
      </c>
      <c r="W119" s="46">
        <f t="shared" si="71"/>
        <v>0</v>
      </c>
      <c r="X119" s="103">
        <f t="shared" si="72"/>
        <v>0</v>
      </c>
      <c r="Y119" s="46">
        <f>X119*Inputs!$B$8</f>
        <v>0</v>
      </c>
      <c r="Z119" s="170">
        <f t="shared" si="84"/>
        <v>254</v>
      </c>
      <c r="AA119" s="104">
        <f>IF(AND(Z119&gt;=255,C119&lt;=Inputs!$B$7,V119&gt;0),(($AN$22-$AN$21)/($AM$22-$AM$21)*(Z119-$AM$21)+$AN$21)*O119,0)</f>
        <v>0</v>
      </c>
      <c r="AB119" s="104">
        <f t="shared" si="73"/>
        <v>0</v>
      </c>
      <c r="AC119" s="46">
        <f t="shared" si="74"/>
        <v>2.3261538461538467</v>
      </c>
      <c r="AD119" s="46">
        <f t="shared" si="85"/>
        <v>0</v>
      </c>
      <c r="AE119" s="46">
        <f t="shared" si="75"/>
        <v>0</v>
      </c>
      <c r="AF119" s="103">
        <f>IF(S119&gt;0,(((R119/O119)*S119)*Inputs!$B$12)+((Q119/O119)*S119)*Inputs!$B$23,0)</f>
        <v>0</v>
      </c>
      <c r="AG119" s="103">
        <f>IF(AA119&gt;0,(((W119/T119)*AA119)*Inputs!$B$12)+((V119/T119)*AA119)*Inputs!$B$23,0)</f>
        <v>0</v>
      </c>
      <c r="AH119" s="331">
        <f>IF(AB119&gt;0,((J119*Inputs!$B$18*Inputs!$B$41/$C$108)-O119),0)</f>
        <v>0</v>
      </c>
      <c r="AI119" s="331">
        <f>IFERROR(((R119/O119)*AH119)*((Inputs!$B$12)+(((Q119/O119)*AH119)*Inputs!$B$23)),0)</f>
        <v>0</v>
      </c>
      <c r="AJ119" s="47"/>
      <c r="AK119" s="47"/>
    </row>
    <row r="120" spans="2:37" ht="14.25" customHeight="1">
      <c r="B120" s="134">
        <v>0.29166666666666702</v>
      </c>
      <c r="C120" s="125">
        <f>Profiles!E39</f>
        <v>255</v>
      </c>
      <c r="D120" s="133">
        <f t="shared" si="76"/>
        <v>255</v>
      </c>
      <c r="E120" s="127">
        <v>0</v>
      </c>
      <c r="F120" s="127">
        <v>0</v>
      </c>
      <c r="G120" s="127">
        <v>0</v>
      </c>
      <c r="H120" s="127">
        <v>0</v>
      </c>
      <c r="I120" s="45">
        <f>Profiles!I13</f>
        <v>0.12</v>
      </c>
      <c r="J120" s="45">
        <f>Profiles!F39</f>
        <v>0.02</v>
      </c>
      <c r="K120" s="46">
        <f>Inputs!$B$9*Inputs!$A$44/$C$108*I120</f>
        <v>2.7913846153846156</v>
      </c>
      <c r="L120" s="46">
        <f t="shared" si="77"/>
        <v>1</v>
      </c>
      <c r="M120" s="114">
        <f>IF(Inputs!$B$26="Yes",VLOOKUP(D120,VWR[#All],2,FALSE),1)</f>
        <v>0.73333333333333339</v>
      </c>
      <c r="N120" s="114">
        <f>IF(Inputs!$B$27="Yes",VLOOKUP(D120,VVR[#All],2,FALSE),0)</f>
        <v>0.1</v>
      </c>
      <c r="O120" s="46">
        <f>(J120*Inputs!$B$18*Inputs!$B$44/$C$108)*M120</f>
        <v>0.54123069299382487</v>
      </c>
      <c r="P120" s="46">
        <f t="shared" si="78"/>
        <v>2.2501539223907905</v>
      </c>
      <c r="Q120" s="46">
        <f t="shared" si="79"/>
        <v>0</v>
      </c>
      <c r="R120" s="46">
        <f t="shared" si="80"/>
        <v>0.54123069299382487</v>
      </c>
      <c r="S120" s="103">
        <f t="shared" si="81"/>
        <v>0</v>
      </c>
      <c r="T120" s="46">
        <f t="shared" si="82"/>
        <v>0.54123069299382487</v>
      </c>
      <c r="U120" s="46">
        <f t="shared" si="70"/>
        <v>2.2501539223907905</v>
      </c>
      <c r="V120" s="46">
        <f t="shared" si="83"/>
        <v>0</v>
      </c>
      <c r="W120" s="46">
        <f t="shared" si="71"/>
        <v>0.54123069299382487</v>
      </c>
      <c r="X120" s="103">
        <f t="shared" si="72"/>
        <v>0</v>
      </c>
      <c r="Y120" s="46">
        <f>X120*Inputs!$B$8</f>
        <v>0</v>
      </c>
      <c r="Z120" s="170">
        <f t="shared" si="84"/>
        <v>255</v>
      </c>
      <c r="AA120" s="104">
        <f>IF(AND(Z120&gt;=255,C120&lt;=Inputs!$B$7,V120&gt;0),(($AN$22-$AN$21)/($AM$22-$AM$21)*(Z120-$AM$21)+$AN$21)*O120,0)</f>
        <v>0</v>
      </c>
      <c r="AB120" s="104">
        <f t="shared" si="73"/>
        <v>0.54123069299382487</v>
      </c>
      <c r="AC120" s="46">
        <f t="shared" si="74"/>
        <v>2.2501539223907905</v>
      </c>
      <c r="AD120" s="46">
        <f t="shared" si="85"/>
        <v>0</v>
      </c>
      <c r="AE120" s="46">
        <f t="shared" si="75"/>
        <v>0.54123069299382487</v>
      </c>
      <c r="AF120" s="103">
        <f>IF(S120&gt;0,(((R120/O120)*S120)*Inputs!$B$12)+((Q120/O120)*S120)*Inputs!$B$23,0)</f>
        <v>0</v>
      </c>
      <c r="AG120" s="103">
        <f>IF(AA120&gt;0,(((W120/T120)*AA120)*Inputs!$B$12)+((V120/T120)*AA120)*Inputs!$B$23,0)</f>
        <v>0</v>
      </c>
      <c r="AH120" s="331">
        <f>IF(AB120&gt;0,((J120*Inputs!$B$18*Inputs!$B$41/$C$108)-O120),0)</f>
        <v>0.12376663871312032</v>
      </c>
      <c r="AI120" s="331">
        <f>IFERROR(((R120/O120)*AH120)*((Inputs!$B$12)+(((Q120/O120)*AH120)*Inputs!$B$23)),0)</f>
        <v>2.9703993291148877E-2</v>
      </c>
      <c r="AJ120" s="47"/>
      <c r="AK120" s="47"/>
    </row>
    <row r="121" spans="2:37" ht="14.25" customHeight="1">
      <c r="B121" s="134">
        <v>0.33333333333333298</v>
      </c>
      <c r="C121" s="125">
        <f>Profiles!E40</f>
        <v>255</v>
      </c>
      <c r="D121" s="133">
        <f t="shared" si="76"/>
        <v>255</v>
      </c>
      <c r="E121" s="127">
        <v>0</v>
      </c>
      <c r="F121" s="127">
        <v>0</v>
      </c>
      <c r="G121" s="127">
        <v>0</v>
      </c>
      <c r="H121" s="127">
        <v>0</v>
      </c>
      <c r="I121" s="45">
        <f>Profiles!I14</f>
        <v>0.03</v>
      </c>
      <c r="J121" s="45">
        <f>Profiles!F40</f>
        <v>4.4999999999999998E-2</v>
      </c>
      <c r="K121" s="46">
        <f>Inputs!$B$9*Inputs!$A$44/$C$108*I121</f>
        <v>0.69784615384615389</v>
      </c>
      <c r="L121" s="46">
        <f t="shared" si="77"/>
        <v>1</v>
      </c>
      <c r="M121" s="114">
        <f>IF(Inputs!$B$26="Yes",VLOOKUP(D121,VWR[#All],2,FALSE),1)</f>
        <v>0.73333333333333339</v>
      </c>
      <c r="N121" s="114">
        <f>IF(Inputs!$B$27="Yes",VLOOKUP(D121,VVR[#All],2,FALSE),0)</f>
        <v>0.1</v>
      </c>
      <c r="O121" s="46">
        <f>(J121*Inputs!$B$18*Inputs!$B$44/$C$108)*M121</f>
        <v>1.2177690592361061</v>
      </c>
      <c r="P121" s="46">
        <f t="shared" si="78"/>
        <v>0</v>
      </c>
      <c r="Q121" s="46">
        <f t="shared" si="79"/>
        <v>0.51992290538995223</v>
      </c>
      <c r="R121" s="46">
        <f t="shared" si="80"/>
        <v>0.69784615384615389</v>
      </c>
      <c r="S121" s="103">
        <f t="shared" si="81"/>
        <v>0</v>
      </c>
      <c r="T121" s="46">
        <f t="shared" si="82"/>
        <v>1.2177690592361061</v>
      </c>
      <c r="U121" s="46">
        <f t="shared" si="70"/>
        <v>0</v>
      </c>
      <c r="V121" s="46">
        <f t="shared" si="83"/>
        <v>0.51992290538995223</v>
      </c>
      <c r="W121" s="46">
        <f t="shared" si="71"/>
        <v>0.69784615384615389</v>
      </c>
      <c r="X121" s="103">
        <f t="shared" si="72"/>
        <v>2.038913354470401</v>
      </c>
      <c r="Y121" s="46">
        <f>X121*Inputs!$B$8</f>
        <v>0.77478707469875241</v>
      </c>
      <c r="Z121" s="170">
        <f t="shared" si="84"/>
        <v>255.77478707469876</v>
      </c>
      <c r="AA121" s="104">
        <f>IF(AND(Z121&gt;=255,C121&lt;=Inputs!$B$7,V121&gt;0),(($AN$22-$AN$21)/($AM$22-$AM$21)*(Z121-$AM$21)+$AN$21)*O121,0)</f>
        <v>0.29731268257910526</v>
      </c>
      <c r="AB121" s="104">
        <f t="shared" si="73"/>
        <v>0.92045637665700086</v>
      </c>
      <c r="AC121" s="46">
        <f t="shared" si="74"/>
        <v>0</v>
      </c>
      <c r="AD121" s="46">
        <f>IF(AB121&gt;K121,MIN((AB121-K121),5),0)</f>
        <v>0.22261022281084697</v>
      </c>
      <c r="AE121" s="46">
        <f t="shared" si="75"/>
        <v>0.69784615384615389</v>
      </c>
      <c r="AF121" s="103">
        <f>IF(S121&gt;0,(((R121/O121)*S121)*Inputs!$B$12)+((Q121/O121)*S121)*Inputs!$B$23,0)</f>
        <v>0</v>
      </c>
      <c r="AG121" s="103">
        <f>IF(AA121&gt;0,(((W121/T121)*AA121)*Inputs!$B$12)+((V121/T121)*AA121)*Inputs!$B$23,0)</f>
        <v>5.6122631147954648E-2</v>
      </c>
      <c r="AH121" s="331">
        <f>IF(AB121&gt;0,((J121*Inputs!$B$18*Inputs!$B$41/$C$108)-O121),0)</f>
        <v>0.27847493710452031</v>
      </c>
      <c r="AI121" s="331">
        <f>IFERROR(((R121/O121)*AH121)*((Inputs!$B$12)+(((Q121/O121)*AH121)*Inputs!$B$23)),0)</f>
        <v>4.0576198489968081E-2</v>
      </c>
      <c r="AJ121" s="47"/>
      <c r="AK121" s="47"/>
    </row>
    <row r="122" spans="2:37" ht="14.25" customHeight="1">
      <c r="B122" s="134">
        <v>0.375</v>
      </c>
      <c r="C122" s="125">
        <f>Profiles!E41</f>
        <v>253</v>
      </c>
      <c r="D122" s="133">
        <f t="shared" si="76"/>
        <v>253</v>
      </c>
      <c r="E122" s="127">
        <v>0</v>
      </c>
      <c r="F122" s="127">
        <v>0</v>
      </c>
      <c r="G122" s="127">
        <v>0</v>
      </c>
      <c r="H122" s="127">
        <v>0</v>
      </c>
      <c r="I122" s="45">
        <f>Profiles!I15</f>
        <v>0.02</v>
      </c>
      <c r="J122" s="45">
        <f>Profiles!F41</f>
        <v>0.08</v>
      </c>
      <c r="K122" s="46">
        <f>Inputs!$B$9*Inputs!$A$44/$C$108*I122</f>
        <v>0.46523076923076928</v>
      </c>
      <c r="L122" s="46">
        <f t="shared" si="77"/>
        <v>1</v>
      </c>
      <c r="M122" s="114">
        <f>IF(Inputs!$B$26="Yes",VLOOKUP(D122,VWR[#All],2,FALSE),1)</f>
        <v>0.84</v>
      </c>
      <c r="N122" s="114">
        <f>IF(Inputs!$B$27="Yes",VLOOKUP(D122,VVR[#All],2,FALSE),0)</f>
        <v>0.06</v>
      </c>
      <c r="O122" s="46">
        <f>(J122*Inputs!$B$18*Inputs!$B$44/$C$108)*M122</f>
        <v>2.4798206297171612</v>
      </c>
      <c r="P122" s="46">
        <f t="shared" si="78"/>
        <v>0</v>
      </c>
      <c r="Q122" s="46">
        <f t="shared" si="79"/>
        <v>2.0145898604863919</v>
      </c>
      <c r="R122" s="46">
        <f t="shared" si="80"/>
        <v>0.46523076923076928</v>
      </c>
      <c r="S122" s="103">
        <f t="shared" si="81"/>
        <v>0</v>
      </c>
      <c r="T122" s="46">
        <f t="shared" si="82"/>
        <v>2.4798206297171612</v>
      </c>
      <c r="U122" s="46">
        <f t="shared" si="70"/>
        <v>0</v>
      </c>
      <c r="V122" s="46">
        <f t="shared" si="83"/>
        <v>2.0145898604863919</v>
      </c>
      <c r="W122" s="46">
        <f t="shared" si="71"/>
        <v>0.46523076923076928</v>
      </c>
      <c r="X122" s="103">
        <f t="shared" si="72"/>
        <v>7.9628057726734855</v>
      </c>
      <c r="Y122" s="46">
        <f>X122*Inputs!$B$8</f>
        <v>3.0258661936159243</v>
      </c>
      <c r="Z122" s="170">
        <f t="shared" si="84"/>
        <v>256.02586619361591</v>
      </c>
      <c r="AA122" s="104">
        <f>IF(AND(Z122&gt;=255,C122&lt;=Inputs!$B$7,V122&gt;0),(($AN$22-$AN$21)/($AM$22-$AM$21)*(Z122-$AM$21)+$AN$21)*O122,0)</f>
        <v>0.66769985331200921</v>
      </c>
      <c r="AB122" s="104">
        <f t="shared" si="73"/>
        <v>1.8121207764051519</v>
      </c>
      <c r="AC122" s="46">
        <f t="shared" si="74"/>
        <v>0</v>
      </c>
      <c r="AD122" s="46">
        <f t="shared" si="85"/>
        <v>1.3468900071743826</v>
      </c>
      <c r="AE122" s="46">
        <f t="shared" si="75"/>
        <v>0.46523076923076928</v>
      </c>
      <c r="AF122" s="103">
        <f>IF(S122&gt;0,(((R122/O122)*S122)*Inputs!$B$12)+((Q122/O122)*S122)*Inputs!$B$23,0)</f>
        <v>0</v>
      </c>
      <c r="AG122" s="103">
        <f>IF(AA122&gt;0,(((W122/T122)*AA122)*Inputs!$B$12)+((V122/T122)*AA122)*Inputs!$B$23,0)</f>
        <v>9.5155772002661732E-2</v>
      </c>
      <c r="AH122" s="331">
        <f>IF(AB122&gt;0,((J122*Inputs!$B$18*Inputs!$B$41/$C$108)-O122),0)</f>
        <v>0.18016869711061956</v>
      </c>
      <c r="AI122" s="331">
        <f>IFERROR(((R122/O122)*AH122)*((Inputs!$B$12)+(((Q122/O122)*AH122)*Inputs!$B$23)),0)</f>
        <v>8.7058845064576125E-3</v>
      </c>
      <c r="AJ122" s="47"/>
      <c r="AK122" s="47"/>
    </row>
    <row r="123" spans="2:37" ht="14.25" customHeight="1">
      <c r="B123" s="134">
        <v>0.41666666666666702</v>
      </c>
      <c r="C123" s="125">
        <f>Profiles!E42</f>
        <v>256</v>
      </c>
      <c r="D123" s="133">
        <f t="shared" si="76"/>
        <v>256</v>
      </c>
      <c r="E123" s="127">
        <v>0</v>
      </c>
      <c r="F123" s="127">
        <v>0</v>
      </c>
      <c r="G123" s="127">
        <v>0</v>
      </c>
      <c r="H123" s="127">
        <v>0</v>
      </c>
      <c r="I123" s="45">
        <f>Profiles!I16</f>
        <v>0.02</v>
      </c>
      <c r="J123" s="45">
        <f>Profiles!F42</f>
        <v>0.11</v>
      </c>
      <c r="K123" s="46">
        <f>Inputs!$B$9*Inputs!$A$44/$C$108*I123</f>
        <v>0.46523076923076928</v>
      </c>
      <c r="L123" s="46">
        <f t="shared" si="77"/>
        <v>1</v>
      </c>
      <c r="M123" s="114">
        <f>IF(Inputs!$B$26="Yes",VLOOKUP(D123,VWR[#All],2,FALSE),1)</f>
        <v>0.67999999999999994</v>
      </c>
      <c r="N123" s="114">
        <f>IF(Inputs!$B$27="Yes",VLOOKUP(D123,VVR[#All],2,FALSE),0)</f>
        <v>0.12</v>
      </c>
      <c r="O123" s="46">
        <f>(J123*Inputs!$B$18*Inputs!$B$44/$C$108)*M123</f>
        <v>2.7602765342685065</v>
      </c>
      <c r="P123" s="46">
        <f t="shared" si="78"/>
        <v>0</v>
      </c>
      <c r="Q123" s="46">
        <f t="shared" si="79"/>
        <v>2.2950457650377372</v>
      </c>
      <c r="R123" s="46">
        <f t="shared" si="80"/>
        <v>0.46523076923076928</v>
      </c>
      <c r="S123" s="103">
        <f t="shared" si="81"/>
        <v>2.7602765342685065</v>
      </c>
      <c r="T123" s="46">
        <f t="shared" si="82"/>
        <v>0</v>
      </c>
      <c r="U123" s="46">
        <f t="shared" si="70"/>
        <v>0.46523076923076928</v>
      </c>
      <c r="V123" s="46">
        <f t="shared" si="83"/>
        <v>0</v>
      </c>
      <c r="W123" s="46">
        <f t="shared" si="71"/>
        <v>0</v>
      </c>
      <c r="X123" s="103">
        <f t="shared" si="72"/>
        <v>0</v>
      </c>
      <c r="Y123" s="46">
        <f>X123*Inputs!$B$8</f>
        <v>0</v>
      </c>
      <c r="Z123" s="170">
        <f t="shared" si="84"/>
        <v>256</v>
      </c>
      <c r="AA123" s="104">
        <f>IF(AND(Z123&gt;=255,C123&lt;=Inputs!$B$7,V123&gt;0),(($AN$22-$AN$21)/($AM$22-$AM$21)*(Z123-$AM$21)+$AN$21)*O123,0)</f>
        <v>0</v>
      </c>
      <c r="AB123" s="104">
        <f t="shared" si="73"/>
        <v>0</v>
      </c>
      <c r="AC123" s="46">
        <f t="shared" si="74"/>
        <v>0.46523076923076928</v>
      </c>
      <c r="AD123" s="46">
        <f>IF(AB123&gt;K123,MIN((AB123-K123),5),0)</f>
        <v>0</v>
      </c>
      <c r="AE123" s="46">
        <f t="shared" si="75"/>
        <v>0</v>
      </c>
      <c r="AF123" s="103">
        <f>IF(S123&gt;0,(((R123/O123)*S123)*Inputs!$B$12)+((Q123/O123)*S123)*Inputs!$B$23,0)</f>
        <v>0.38706087641991305</v>
      </c>
      <c r="AG123" s="103">
        <f>IF(AA123&gt;0,(((W123/T123)*AA123)*Inputs!$B$12)+((V123/T123)*AA123)*Inputs!$B$23,0)</f>
        <v>0</v>
      </c>
      <c r="AH123" s="331">
        <f>IF(AB123&gt;0,((J123*Inputs!$B$18*Inputs!$B$41/$C$108)-O123),0)</f>
        <v>0</v>
      </c>
      <c r="AI123" s="331">
        <f>IFERROR(((R123/O123)*AH123)*((Inputs!$B$12)+(((Q123/O123)*AH123)*Inputs!$B$23)),0)</f>
        <v>0</v>
      </c>
      <c r="AJ123" s="47"/>
      <c r="AK123" s="47"/>
    </row>
    <row r="124" spans="2:37" ht="14.25" customHeight="1">
      <c r="B124" s="134">
        <v>0.45833333333333298</v>
      </c>
      <c r="C124" s="125">
        <f>Profiles!E43</f>
        <v>257</v>
      </c>
      <c r="D124" s="133">
        <f t="shared" si="76"/>
        <v>257</v>
      </c>
      <c r="E124" s="127">
        <v>0</v>
      </c>
      <c r="F124" s="127">
        <v>0</v>
      </c>
      <c r="G124" s="127">
        <v>0</v>
      </c>
      <c r="H124" s="127">
        <v>0</v>
      </c>
      <c r="I124" s="45">
        <f>Profiles!I17</f>
        <v>0.02</v>
      </c>
      <c r="J124" s="45">
        <f>Profiles!F43</f>
        <v>0.12</v>
      </c>
      <c r="K124" s="46">
        <f>Inputs!$B$9*Inputs!$A$44/$C$108*I124</f>
        <v>0.46523076923076928</v>
      </c>
      <c r="L124" s="46">
        <f t="shared" si="77"/>
        <v>1</v>
      </c>
      <c r="M124" s="114">
        <f>IF(Inputs!$B$26="Yes",VLOOKUP(D124,VWR[#All],2,FALSE),1)</f>
        <v>0.62666666666666671</v>
      </c>
      <c r="N124" s="114">
        <f>IF(Inputs!$B$27="Yes",VLOOKUP(D124,VVR[#All],2,FALSE),0)</f>
        <v>0.14000000000000001</v>
      </c>
      <c r="O124" s="46">
        <f>(J124*Inputs!$B$18*Inputs!$B$44/$C$108)*M124</f>
        <v>2.7750373713501566</v>
      </c>
      <c r="P124" s="46">
        <f t="shared" si="78"/>
        <v>0</v>
      </c>
      <c r="Q124" s="46">
        <f t="shared" si="79"/>
        <v>2.3098066021193873</v>
      </c>
      <c r="R124" s="46">
        <f t="shared" si="80"/>
        <v>0.46523076923076928</v>
      </c>
      <c r="S124" s="103">
        <f t="shared" si="81"/>
        <v>2.7750373713501566</v>
      </c>
      <c r="T124" s="46">
        <f t="shared" si="82"/>
        <v>0</v>
      </c>
      <c r="U124" s="46">
        <f t="shared" si="70"/>
        <v>0.46523076923076928</v>
      </c>
      <c r="V124" s="46">
        <f t="shared" si="83"/>
        <v>0</v>
      </c>
      <c r="W124" s="46">
        <f t="shared" si="71"/>
        <v>0</v>
      </c>
      <c r="X124" s="103">
        <f t="shared" si="72"/>
        <v>0</v>
      </c>
      <c r="Y124" s="46">
        <f>X124*Inputs!$B$8</f>
        <v>0</v>
      </c>
      <c r="Z124" s="170">
        <f t="shared" si="84"/>
        <v>257</v>
      </c>
      <c r="AA124" s="104">
        <f>IF(AND(Z124&gt;=255,C124&lt;=Inputs!$B$7,V124&gt;0),(($AN$22-$AN$21)/($AM$22-$AM$21)*(Z124-$AM$21)+$AN$21)*O124,0)</f>
        <v>0</v>
      </c>
      <c r="AB124" s="104">
        <f t="shared" si="73"/>
        <v>0</v>
      </c>
      <c r="AC124" s="46">
        <f t="shared" si="74"/>
        <v>0.46523076923076928</v>
      </c>
      <c r="AD124" s="46">
        <f t="shared" si="85"/>
        <v>0</v>
      </c>
      <c r="AE124" s="46">
        <f t="shared" si="75"/>
        <v>0</v>
      </c>
      <c r="AF124" s="103">
        <f>IF(S124&gt;0,(((R124/O124)*S124)*Inputs!$B$12)+((Q124/O124)*S124)*Inputs!$B$23,0)</f>
        <v>0.38883217686971105</v>
      </c>
      <c r="AG124" s="103">
        <f>IF(AA124&gt;0,(((W124/T124)*AA124)*Inputs!$B$12)+((V124/T124)*AA124)*Inputs!$B$23,0)</f>
        <v>0</v>
      </c>
      <c r="AH124" s="331">
        <f>IF(AB124&gt;0,((J124*Inputs!$B$18*Inputs!$B$41/$C$108)-O124),0)</f>
        <v>0</v>
      </c>
      <c r="AI124" s="331">
        <f>IFERROR(((R124/O124)*AH124)*((Inputs!$B$12)+(((Q124/O124)*AH124)*Inputs!$B$23)),0)</f>
        <v>0</v>
      </c>
      <c r="AJ124" s="47"/>
      <c r="AK124" s="47"/>
    </row>
    <row r="125" spans="2:37" ht="14.25" customHeight="1">
      <c r="B125" s="134">
        <v>0.5</v>
      </c>
      <c r="C125" s="125">
        <f>Profiles!E44</f>
        <v>257</v>
      </c>
      <c r="D125" s="133">
        <f t="shared" si="76"/>
        <v>257</v>
      </c>
      <c r="E125" s="127">
        <v>0</v>
      </c>
      <c r="F125" s="127">
        <v>0</v>
      </c>
      <c r="G125" s="127">
        <v>0</v>
      </c>
      <c r="H125" s="127">
        <v>0</v>
      </c>
      <c r="I125" s="45">
        <f>Profiles!I18</f>
        <v>0.02</v>
      </c>
      <c r="J125" s="45">
        <f>Profiles!F44</f>
        <v>0.125</v>
      </c>
      <c r="K125" s="46">
        <f>Inputs!$B$9*Inputs!$A$44/$C$108*I125</f>
        <v>0.46523076923076928</v>
      </c>
      <c r="L125" s="46">
        <f t="shared" si="77"/>
        <v>1</v>
      </c>
      <c r="M125" s="114">
        <f>IF(Inputs!$B$26="Yes",VLOOKUP(D125,VWR[#All],2,FALSE),1)</f>
        <v>0.62666666666666671</v>
      </c>
      <c r="N125" s="114">
        <f>IF(Inputs!$B$27="Yes",VLOOKUP(D125,VVR[#All],2,FALSE),0)</f>
        <v>0.14000000000000001</v>
      </c>
      <c r="O125" s="46">
        <f>(J125*Inputs!$B$18*Inputs!$B$44/$C$108)*M125</f>
        <v>2.8906639284897464</v>
      </c>
      <c r="P125" s="46">
        <f t="shared" si="78"/>
        <v>0</v>
      </c>
      <c r="Q125" s="46">
        <f t="shared" si="79"/>
        <v>2.4254331592589771</v>
      </c>
      <c r="R125" s="46">
        <f t="shared" si="80"/>
        <v>0.46523076923076928</v>
      </c>
      <c r="S125" s="103">
        <f t="shared" si="81"/>
        <v>2.8906639284897464</v>
      </c>
      <c r="T125" s="46">
        <f t="shared" si="82"/>
        <v>0</v>
      </c>
      <c r="U125" s="46">
        <f t="shared" si="70"/>
        <v>0.46523076923076928</v>
      </c>
      <c r="V125" s="46">
        <f t="shared" si="83"/>
        <v>0</v>
      </c>
      <c r="W125" s="46">
        <f t="shared" si="71"/>
        <v>0</v>
      </c>
      <c r="X125" s="103">
        <f t="shared" si="72"/>
        <v>0</v>
      </c>
      <c r="Y125" s="46">
        <f>X125*Inputs!$B$8</f>
        <v>0</v>
      </c>
      <c r="Z125" s="170">
        <f t="shared" si="84"/>
        <v>257</v>
      </c>
      <c r="AA125" s="104">
        <f>IF(AND(Z125&gt;=255,C125&lt;=Inputs!$B$7,V125&gt;0),(($AN$22-$AN$21)/($AM$22-$AM$21)*(Z125-$AM$21)+$AN$21)*O125,0)</f>
        <v>0</v>
      </c>
      <c r="AB125" s="104">
        <f t="shared" si="73"/>
        <v>0</v>
      </c>
      <c r="AC125" s="46">
        <f t="shared" si="74"/>
        <v>0.46523076923076928</v>
      </c>
      <c r="AD125" s="46">
        <f t="shared" si="85"/>
        <v>0</v>
      </c>
      <c r="AE125" s="46">
        <f t="shared" si="75"/>
        <v>0</v>
      </c>
      <c r="AF125" s="103">
        <f>IF(S125&gt;0,(((R125/O125)*S125)*Inputs!$B$12)+((Q125/O125)*S125)*Inputs!$B$23,0)</f>
        <v>0.40270736372646188</v>
      </c>
      <c r="AG125" s="103">
        <f>IF(AA125&gt;0,(((W125/T125)*AA125)*Inputs!$B$12)+((V125/T125)*AA125)*Inputs!$B$23,0)</f>
        <v>0</v>
      </c>
      <c r="AH125" s="331">
        <f>IF(AB125&gt;0,((J125*Inputs!$B$18*Inputs!$B$41/$C$108)-O125),0)</f>
        <v>0</v>
      </c>
      <c r="AI125" s="331">
        <f>IFERROR(((R125/O125)*AH125)*((Inputs!$B$12)+(((Q125/O125)*AH125)*Inputs!$B$23)),0)</f>
        <v>0</v>
      </c>
      <c r="AJ125" s="47"/>
      <c r="AK125" s="47"/>
    </row>
    <row r="126" spans="2:37" ht="14.25" customHeight="1">
      <c r="B126" s="134">
        <v>0.54166666666666696</v>
      </c>
      <c r="C126" s="125">
        <f>Profiles!E45</f>
        <v>257</v>
      </c>
      <c r="D126" s="133">
        <f t="shared" si="76"/>
        <v>257</v>
      </c>
      <c r="E126" s="127">
        <v>0</v>
      </c>
      <c r="F126" s="127">
        <v>0</v>
      </c>
      <c r="G126" s="127">
        <v>0</v>
      </c>
      <c r="H126" s="127">
        <v>0</v>
      </c>
      <c r="I126" s="45">
        <f>Profiles!I19</f>
        <v>0.02</v>
      </c>
      <c r="J126" s="45">
        <f>Profiles!F45</f>
        <v>0.125</v>
      </c>
      <c r="K126" s="46">
        <f>Inputs!$B$9*Inputs!$A$44/$C$108*I126</f>
        <v>0.46523076923076928</v>
      </c>
      <c r="L126" s="46">
        <f t="shared" si="77"/>
        <v>1</v>
      </c>
      <c r="M126" s="114">
        <f>IF(Inputs!$B$26="Yes",VLOOKUP(D126,VWR[#All],2,FALSE),1)</f>
        <v>0.62666666666666671</v>
      </c>
      <c r="N126" s="114">
        <f>IF(Inputs!$B$27="Yes",VLOOKUP(D126,VVR[#All],2,FALSE),0)</f>
        <v>0.14000000000000001</v>
      </c>
      <c r="O126" s="46">
        <f>(J126*Inputs!$B$18*Inputs!$B$44/$C$108)*M126</f>
        <v>2.8906639284897464</v>
      </c>
      <c r="P126" s="46">
        <f t="shared" si="78"/>
        <v>0</v>
      </c>
      <c r="Q126" s="46">
        <f t="shared" si="79"/>
        <v>2.4254331592589771</v>
      </c>
      <c r="R126" s="46">
        <f t="shared" si="80"/>
        <v>0.46523076923076928</v>
      </c>
      <c r="S126" s="103">
        <f t="shared" si="81"/>
        <v>2.8906639284897464</v>
      </c>
      <c r="T126" s="46">
        <f t="shared" si="82"/>
        <v>0</v>
      </c>
      <c r="U126" s="46">
        <f t="shared" si="70"/>
        <v>0.46523076923076928</v>
      </c>
      <c r="V126" s="46">
        <f t="shared" si="83"/>
        <v>0</v>
      </c>
      <c r="W126" s="46">
        <f t="shared" si="71"/>
        <v>0</v>
      </c>
      <c r="X126" s="103">
        <f t="shared" si="72"/>
        <v>0</v>
      </c>
      <c r="Y126" s="46">
        <f>X126*Inputs!$B$8</f>
        <v>0</v>
      </c>
      <c r="Z126" s="170">
        <f t="shared" si="84"/>
        <v>257</v>
      </c>
      <c r="AA126" s="104">
        <f>IF(AND(Z126&gt;=255,C126&lt;=Inputs!$B$7,V126&gt;0),(($AN$22-$AN$21)/($AM$22-$AM$21)*(Z126-$AM$21)+$AN$21)*O126,0)</f>
        <v>0</v>
      </c>
      <c r="AB126" s="104">
        <f t="shared" si="73"/>
        <v>0</v>
      </c>
      <c r="AC126" s="46">
        <f t="shared" si="74"/>
        <v>0.46523076923076928</v>
      </c>
      <c r="AD126" s="46">
        <f t="shared" si="85"/>
        <v>0</v>
      </c>
      <c r="AE126" s="46">
        <f t="shared" si="75"/>
        <v>0</v>
      </c>
      <c r="AF126" s="103">
        <f>IF(S126&gt;0,(((R126/O126)*S126)*Inputs!$B$12)+((Q126/O126)*S126)*Inputs!$B$23,0)</f>
        <v>0.40270736372646188</v>
      </c>
      <c r="AG126" s="103">
        <f>IF(AA126&gt;0,(((W126/T126)*AA126)*Inputs!$B$12)+((V126/T126)*AA126)*Inputs!$B$23,0)</f>
        <v>0</v>
      </c>
      <c r="AH126" s="331">
        <f>IF(AB126&gt;0,((J126*Inputs!$B$18*Inputs!$B$41/$C$108)-O126),0)</f>
        <v>0</v>
      </c>
      <c r="AI126" s="331">
        <f>IFERROR(((R126/O126)*AH126)*((Inputs!$B$12)+(((Q126/O126)*AH126)*Inputs!$B$23)),0)</f>
        <v>0</v>
      </c>
      <c r="AJ126" s="47"/>
      <c r="AK126" s="47"/>
    </row>
    <row r="127" spans="2:37" ht="14.25" customHeight="1">
      <c r="B127" s="134">
        <v>0.58333333333333304</v>
      </c>
      <c r="C127" s="125">
        <f>Profiles!E46</f>
        <v>256</v>
      </c>
      <c r="D127" s="133">
        <f t="shared" si="76"/>
        <v>256</v>
      </c>
      <c r="E127" s="127">
        <v>0</v>
      </c>
      <c r="F127" s="127">
        <v>0</v>
      </c>
      <c r="G127" s="127">
        <v>0</v>
      </c>
      <c r="H127" s="127">
        <v>0</v>
      </c>
      <c r="I127" s="45">
        <f>Profiles!I20</f>
        <v>0.02</v>
      </c>
      <c r="J127" s="45">
        <f>Profiles!F46</f>
        <v>0.12</v>
      </c>
      <c r="K127" s="46">
        <f>Inputs!$B$9*Inputs!$A$44/$C$108*I127</f>
        <v>0.46523076923076928</v>
      </c>
      <c r="L127" s="46">
        <f t="shared" si="77"/>
        <v>1</v>
      </c>
      <c r="M127" s="114">
        <f>IF(Inputs!$B$26="Yes",VLOOKUP(D127,VWR[#All],2,FALSE),1)</f>
        <v>0.67999999999999994</v>
      </c>
      <c r="N127" s="114">
        <f>IF(Inputs!$B$27="Yes",VLOOKUP(D127,VVR[#All],2,FALSE),0)</f>
        <v>0.12</v>
      </c>
      <c r="O127" s="46">
        <f>(J127*Inputs!$B$18*Inputs!$B$44/$C$108)*M127</f>
        <v>3.0112107646565525</v>
      </c>
      <c r="P127" s="46">
        <f t="shared" si="78"/>
        <v>0</v>
      </c>
      <c r="Q127" s="46">
        <f t="shared" si="79"/>
        <v>2.5459799954257831</v>
      </c>
      <c r="R127" s="46">
        <f t="shared" si="80"/>
        <v>0.46523076923076928</v>
      </c>
      <c r="S127" s="103">
        <f t="shared" si="81"/>
        <v>3.0112107646565525</v>
      </c>
      <c r="T127" s="46">
        <f t="shared" si="82"/>
        <v>0</v>
      </c>
      <c r="U127" s="46">
        <f t="shared" si="70"/>
        <v>0.46523076923076928</v>
      </c>
      <c r="V127" s="46">
        <f t="shared" si="83"/>
        <v>0</v>
      </c>
      <c r="W127" s="46">
        <f t="shared" si="71"/>
        <v>0</v>
      </c>
      <c r="X127" s="103">
        <f t="shared" si="72"/>
        <v>0</v>
      </c>
      <c r="Y127" s="46">
        <f>X127*Inputs!$B$8</f>
        <v>0</v>
      </c>
      <c r="Z127" s="170">
        <f t="shared" si="84"/>
        <v>256</v>
      </c>
      <c r="AA127" s="104">
        <f>IF(AND(Z127&gt;=255,C127&lt;=Inputs!$B$7,V127&gt;0),(($AN$22-$AN$21)/($AM$22-$AM$21)*(Z127-$AM$21)+$AN$21)*O127,0)</f>
        <v>0</v>
      </c>
      <c r="AB127" s="104">
        <f t="shared" si="73"/>
        <v>0</v>
      </c>
      <c r="AC127" s="46">
        <f t="shared" si="74"/>
        <v>0.46523076923076928</v>
      </c>
      <c r="AD127" s="46">
        <f t="shared" si="85"/>
        <v>0</v>
      </c>
      <c r="AE127" s="46">
        <f t="shared" si="75"/>
        <v>0</v>
      </c>
      <c r="AF127" s="103">
        <f>IF(S127&gt;0,(((R127/O127)*S127)*Inputs!$B$12)+((Q127/O127)*S127)*Inputs!$B$23,0)</f>
        <v>0.41717298406647862</v>
      </c>
      <c r="AG127" s="103">
        <f>IF(AA127&gt;0,(((W127/T127)*AA127)*Inputs!$B$12)+((V127/T127)*AA127)*Inputs!$B$23,0)</f>
        <v>0</v>
      </c>
      <c r="AH127" s="331">
        <f>IF(AB127&gt;0,((J127*Inputs!$B$18*Inputs!$B$41/$C$108)-O127),0)</f>
        <v>0</v>
      </c>
      <c r="AI127" s="331">
        <f>IFERROR(((R127/O127)*AH127)*((Inputs!$B$12)+(((Q127/O127)*AH127)*Inputs!$B$23)),0)</f>
        <v>0</v>
      </c>
      <c r="AJ127" s="47"/>
      <c r="AK127" s="47"/>
    </row>
    <row r="128" spans="2:37" ht="14.25" customHeight="1">
      <c r="B128" s="134">
        <v>0.625</v>
      </c>
      <c r="C128" s="125">
        <f>Profiles!E47</f>
        <v>256</v>
      </c>
      <c r="D128" s="133">
        <f t="shared" si="76"/>
        <v>256</v>
      </c>
      <c r="E128" s="127">
        <v>0</v>
      </c>
      <c r="F128" s="127">
        <v>0</v>
      </c>
      <c r="G128" s="127">
        <v>0</v>
      </c>
      <c r="H128" s="127">
        <v>0</v>
      </c>
      <c r="I128" s="45">
        <f>Profiles!I21</f>
        <v>0.02</v>
      </c>
      <c r="J128" s="45">
        <f>Profiles!F47</f>
        <v>0.11</v>
      </c>
      <c r="K128" s="46">
        <f>Inputs!$B$9*Inputs!$A$44/$C$108*I128</f>
        <v>0.46523076923076928</v>
      </c>
      <c r="L128" s="46">
        <f t="shared" si="77"/>
        <v>1</v>
      </c>
      <c r="M128" s="114">
        <f>IF(Inputs!$B$26="Yes",VLOOKUP(D128,VWR[#All],2,FALSE),1)</f>
        <v>0.67999999999999994</v>
      </c>
      <c r="N128" s="114">
        <f>IF(Inputs!$B$27="Yes",VLOOKUP(D128,VVR[#All],2,FALSE),0)</f>
        <v>0.12</v>
      </c>
      <c r="O128" s="46">
        <f>(J128*Inputs!$B$18*Inputs!$B$44/$C$108)*M128</f>
        <v>2.7602765342685065</v>
      </c>
      <c r="P128" s="46">
        <f t="shared" si="78"/>
        <v>0</v>
      </c>
      <c r="Q128" s="46">
        <f t="shared" si="79"/>
        <v>2.2950457650377372</v>
      </c>
      <c r="R128" s="46">
        <f t="shared" si="80"/>
        <v>0.46523076923076928</v>
      </c>
      <c r="S128" s="103">
        <f t="shared" si="81"/>
        <v>2.7602765342685065</v>
      </c>
      <c r="T128" s="46">
        <f t="shared" si="82"/>
        <v>0</v>
      </c>
      <c r="U128" s="46">
        <f t="shared" si="70"/>
        <v>0.46523076923076928</v>
      </c>
      <c r="V128" s="46">
        <f t="shared" si="83"/>
        <v>0</v>
      </c>
      <c r="W128" s="46">
        <f t="shared" si="71"/>
        <v>0</v>
      </c>
      <c r="X128" s="103">
        <f t="shared" si="72"/>
        <v>0</v>
      </c>
      <c r="Y128" s="46">
        <f>X128*Inputs!$B$8</f>
        <v>0</v>
      </c>
      <c r="Z128" s="170">
        <f t="shared" si="84"/>
        <v>256</v>
      </c>
      <c r="AA128" s="104">
        <f>IF(AND(Z128&gt;=255,C128&lt;=Inputs!$B$7,V128&gt;0),(($AN$22-$AN$21)/($AM$22-$AM$21)*(Z128-$AM$21)+$AN$21)*O128,0)</f>
        <v>0</v>
      </c>
      <c r="AB128" s="104">
        <f t="shared" si="73"/>
        <v>0</v>
      </c>
      <c r="AC128" s="46">
        <f t="shared" si="74"/>
        <v>0.46523076923076928</v>
      </c>
      <c r="AD128" s="46">
        <f t="shared" si="85"/>
        <v>0</v>
      </c>
      <c r="AE128" s="46">
        <f t="shared" si="75"/>
        <v>0</v>
      </c>
      <c r="AF128" s="103">
        <f>IF(S128&gt;0,(((R128/O128)*S128)*Inputs!$B$12)+((Q128/O128)*S128)*Inputs!$B$23,0)</f>
        <v>0.38706087641991305</v>
      </c>
      <c r="AG128" s="103">
        <f>IF(AA128&gt;0,(((W128/T128)*AA128)*Inputs!$B$12)+((V128/T128)*AA128)*Inputs!$B$23,0)</f>
        <v>0</v>
      </c>
      <c r="AH128" s="331">
        <f>IF(AB128&gt;0,((J128*Inputs!$B$18*Inputs!$B$41/$C$108)-O128),0)</f>
        <v>0</v>
      </c>
      <c r="AI128" s="331">
        <f>IFERROR(((R128/O128)*AH128)*((Inputs!$B$12)+(((Q128/O128)*AH128)*Inputs!$B$23)),0)</f>
        <v>0</v>
      </c>
      <c r="AJ128" s="47"/>
      <c r="AK128" s="47"/>
    </row>
    <row r="129" spans="2:40" ht="14.25" customHeight="1">
      <c r="B129" s="134">
        <v>0.66666666666666696</v>
      </c>
      <c r="C129" s="125">
        <f>Profiles!E48</f>
        <v>255</v>
      </c>
      <c r="D129" s="133">
        <f t="shared" si="76"/>
        <v>255</v>
      </c>
      <c r="E129" s="127">
        <v>0</v>
      </c>
      <c r="F129" s="127">
        <v>0</v>
      </c>
      <c r="G129" s="127">
        <v>0</v>
      </c>
      <c r="H129" s="127">
        <v>0</v>
      </c>
      <c r="I129" s="45">
        <f>Profiles!I22</f>
        <v>0.05</v>
      </c>
      <c r="J129" s="45">
        <f>Profiles!F48</f>
        <v>0.08</v>
      </c>
      <c r="K129" s="46">
        <f>Inputs!$B$9*Inputs!$A$44/$C$108*I129</f>
        <v>1.1630769230769233</v>
      </c>
      <c r="L129" s="46">
        <f t="shared" si="77"/>
        <v>1</v>
      </c>
      <c r="M129" s="114">
        <f>IF(Inputs!$B$26="Yes",VLOOKUP(D129,VWR[#All],2,FALSE),1)</f>
        <v>0.73333333333333339</v>
      </c>
      <c r="N129" s="114">
        <f>IF(Inputs!$B$27="Yes",VLOOKUP(D129,VVR[#All],2,FALSE),0)</f>
        <v>0.1</v>
      </c>
      <c r="O129" s="46">
        <f>(J129*Inputs!$B$18*Inputs!$B$44/$C$108)*M129</f>
        <v>2.1649227719752995</v>
      </c>
      <c r="P129" s="46">
        <f t="shared" si="78"/>
        <v>0</v>
      </c>
      <c r="Q129" s="46">
        <f t="shared" si="79"/>
        <v>1.0018458488983761</v>
      </c>
      <c r="R129" s="46">
        <f t="shared" si="80"/>
        <v>1.1630769230769233</v>
      </c>
      <c r="S129" s="103">
        <f t="shared" si="81"/>
        <v>0</v>
      </c>
      <c r="T129" s="46">
        <f t="shared" si="82"/>
        <v>2.1649227719752995</v>
      </c>
      <c r="U129" s="46">
        <f t="shared" si="70"/>
        <v>0</v>
      </c>
      <c r="V129" s="46">
        <f t="shared" si="83"/>
        <v>1.0018458488983761</v>
      </c>
      <c r="W129" s="46">
        <f t="shared" si="71"/>
        <v>1.1630769230769233</v>
      </c>
      <c r="X129" s="103">
        <f t="shared" si="72"/>
        <v>3.9288072505818672</v>
      </c>
      <c r="Y129" s="46">
        <f>X129*Inputs!$B$8</f>
        <v>1.4929467552211095</v>
      </c>
      <c r="Z129" s="170">
        <f t="shared" si="84"/>
        <v>256.49294675522111</v>
      </c>
      <c r="AA129" s="104">
        <f>IF(AND(Z129&gt;=255,C129&lt;=Inputs!$B$7,V129&gt;0),(($AN$22-$AN$21)/($AM$22-$AM$21)*(Z129-$AM$21)+$AN$21)*O129,0)</f>
        <v>0.68403190476836517</v>
      </c>
      <c r="AB129" s="104">
        <f t="shared" si="73"/>
        <v>1.4808908672069343</v>
      </c>
      <c r="AC129" s="46">
        <f t="shared" si="74"/>
        <v>0</v>
      </c>
      <c r="AD129" s="46">
        <f t="shared" si="85"/>
        <v>0.31781394413001096</v>
      </c>
      <c r="AE129" s="46">
        <f t="shared" si="75"/>
        <v>1.1630769230769233</v>
      </c>
      <c r="AF129" s="103">
        <f>IF(S129&gt;0,(((R129/O129)*S129)*Inputs!$B$12)+((Q129/O129)*S129)*Inputs!$B$23,0)</f>
        <v>0</v>
      </c>
      <c r="AG129" s="103">
        <f>IF(AA129&gt;0,(((W129/T129)*AA129)*Inputs!$B$12)+((V129/T129)*AA129)*Inputs!$B$23,0)</f>
        <v>0.12618231005430525</v>
      </c>
      <c r="AH129" s="331">
        <f>IF(AB129&gt;0,((J129*Inputs!$B$18*Inputs!$B$41/$C$108)-O129),0)</f>
        <v>0.4950665548524813</v>
      </c>
      <c r="AI129" s="331">
        <f>IFERROR(((R129/O129)*AH129)*((Inputs!$B$12)+(((Q129/O129)*AH129)*Inputs!$B$23)),0)</f>
        <v>7.1144299377473505E-2</v>
      </c>
      <c r="AJ129" s="47"/>
      <c r="AK129" s="47"/>
    </row>
    <row r="130" spans="2:40" ht="14.25" customHeight="1">
      <c r="B130" s="134">
        <v>0.70833333333333304</v>
      </c>
      <c r="C130" s="125">
        <f>Profiles!E49</f>
        <v>254</v>
      </c>
      <c r="D130" s="133">
        <f t="shared" si="76"/>
        <v>254</v>
      </c>
      <c r="E130" s="127">
        <v>0</v>
      </c>
      <c r="F130" s="127">
        <v>0</v>
      </c>
      <c r="G130" s="127">
        <v>0</v>
      </c>
      <c r="H130" s="127">
        <v>0</v>
      </c>
      <c r="I130" s="45">
        <f>Profiles!I23</f>
        <v>0.08</v>
      </c>
      <c r="J130" s="45">
        <f>Profiles!F49</f>
        <v>4.4999999999999998E-2</v>
      </c>
      <c r="K130" s="46">
        <f>Inputs!$B$9*Inputs!$A$44/$C$108*I130</f>
        <v>1.8609230769230771</v>
      </c>
      <c r="L130" s="46">
        <f t="shared" si="77"/>
        <v>1</v>
      </c>
      <c r="M130" s="114">
        <f>IF(Inputs!$B$26="Yes",VLOOKUP(D130,VWR[#All],2,FALSE),1)</f>
        <v>0.78666666666666663</v>
      </c>
      <c r="N130" s="114">
        <f>IF(Inputs!$B$27="Yes",VLOOKUP(D130,VVR[#All],2,FALSE),0)</f>
        <v>0.08</v>
      </c>
      <c r="O130" s="46">
        <f>(J130*Inputs!$B$18*Inputs!$B$44/$C$108)*M130</f>
        <v>1.3063340817260045</v>
      </c>
      <c r="P130" s="46">
        <f t="shared" si="78"/>
        <v>0.55458899519707261</v>
      </c>
      <c r="Q130" s="46">
        <f t="shared" si="79"/>
        <v>0</v>
      </c>
      <c r="R130" s="46">
        <f t="shared" si="80"/>
        <v>1.3063340817260045</v>
      </c>
      <c r="S130" s="103">
        <f t="shared" si="81"/>
        <v>0</v>
      </c>
      <c r="T130" s="46">
        <f t="shared" si="82"/>
        <v>1.3063340817260045</v>
      </c>
      <c r="U130" s="46">
        <f t="shared" si="70"/>
        <v>0.55458899519707261</v>
      </c>
      <c r="V130" s="46">
        <f t="shared" si="83"/>
        <v>0</v>
      </c>
      <c r="W130" s="46">
        <f t="shared" si="71"/>
        <v>1.3063340817260045</v>
      </c>
      <c r="X130" s="103">
        <f t="shared" si="72"/>
        <v>0</v>
      </c>
      <c r="Y130" s="46">
        <f>X130*Inputs!$B$8</f>
        <v>0</v>
      </c>
      <c r="Z130" s="170">
        <f t="shared" si="84"/>
        <v>254</v>
      </c>
      <c r="AA130" s="104">
        <f>IF(AND(Z130&gt;=255,C130&lt;=Inputs!$B$7,V130&gt;0),(($AN$22-$AN$21)/($AM$22-$AM$21)*(Z130-$AM$21)+$AN$21)*O130,0)</f>
        <v>0</v>
      </c>
      <c r="AB130" s="104">
        <f t="shared" si="73"/>
        <v>1.3063340817260045</v>
      </c>
      <c r="AC130" s="46">
        <f t="shared" si="74"/>
        <v>0.55458899519707261</v>
      </c>
      <c r="AD130" s="46">
        <f t="shared" si="85"/>
        <v>0</v>
      </c>
      <c r="AE130" s="46">
        <f t="shared" si="75"/>
        <v>1.3063340817260045</v>
      </c>
      <c r="AF130" s="103">
        <f>IF(S130&gt;0,(((R130/O130)*S130)*Inputs!$B$12)+((Q130/O130)*S130)*Inputs!$B$23,0)</f>
        <v>0</v>
      </c>
      <c r="AG130" s="103">
        <f>IF(AA130&gt;0,(((W130/T130)*AA130)*Inputs!$B$12)+((V130/T130)*AA130)*Inputs!$B$23,0)</f>
        <v>0</v>
      </c>
      <c r="AH130" s="331">
        <f>IF(AB130&gt;0,((J130*Inputs!$B$18*Inputs!$B$41/$C$108)-O130),0)</f>
        <v>0.18990991461462192</v>
      </c>
      <c r="AI130" s="331">
        <f>IFERROR(((R130/O130)*AH130)*((Inputs!$B$12)+(((Q130/O130)*AH130)*Inputs!$B$23)),0)</f>
        <v>4.5578379507509259E-2</v>
      </c>
      <c r="AJ130" s="47"/>
      <c r="AK130" s="47"/>
    </row>
    <row r="131" spans="2:40" ht="14.25" customHeight="1">
      <c r="B131" s="134">
        <v>0.75</v>
      </c>
      <c r="C131" s="125">
        <f>Profiles!E50</f>
        <v>254</v>
      </c>
      <c r="D131" s="133">
        <f t="shared" si="76"/>
        <v>254</v>
      </c>
      <c r="E131" s="127">
        <v>0</v>
      </c>
      <c r="F131" s="127">
        <v>0</v>
      </c>
      <c r="G131" s="127">
        <v>0</v>
      </c>
      <c r="H131" s="127">
        <v>0</v>
      </c>
      <c r="I131" s="45">
        <f>Profiles!I24</f>
        <v>0.12</v>
      </c>
      <c r="J131" s="45">
        <f>Profiles!F50</f>
        <v>0.02</v>
      </c>
      <c r="K131" s="46">
        <f>Inputs!$B$9*Inputs!$A$44/$C$108*I131</f>
        <v>2.7913846153846156</v>
      </c>
      <c r="L131" s="46">
        <f t="shared" si="77"/>
        <v>1</v>
      </c>
      <c r="M131" s="114">
        <f>IF(Inputs!$B$26="Yes",VLOOKUP(D131,VWR[#All],2,FALSE),1)</f>
        <v>0.78666666666666663</v>
      </c>
      <c r="N131" s="114">
        <f>IF(Inputs!$B$27="Yes",VLOOKUP(D131,VVR[#All],2,FALSE),0)</f>
        <v>0.08</v>
      </c>
      <c r="O131" s="46">
        <f>(J131*Inputs!$B$18*Inputs!$B$44/$C$108)*M131</f>
        <v>0.58059292521155759</v>
      </c>
      <c r="P131" s="46">
        <f t="shared" si="78"/>
        <v>2.2107916901730578</v>
      </c>
      <c r="Q131" s="46">
        <f t="shared" si="79"/>
        <v>0</v>
      </c>
      <c r="R131" s="46">
        <f t="shared" si="80"/>
        <v>0.58059292521155759</v>
      </c>
      <c r="S131" s="103">
        <f t="shared" si="81"/>
        <v>0</v>
      </c>
      <c r="T131" s="46">
        <f t="shared" si="82"/>
        <v>0.58059292521155759</v>
      </c>
      <c r="U131" s="46">
        <f t="shared" si="70"/>
        <v>2.2107916901730578</v>
      </c>
      <c r="V131" s="46">
        <f t="shared" si="83"/>
        <v>0</v>
      </c>
      <c r="W131" s="46">
        <f t="shared" si="71"/>
        <v>0.58059292521155759</v>
      </c>
      <c r="X131" s="103">
        <f t="shared" si="72"/>
        <v>0</v>
      </c>
      <c r="Y131" s="46">
        <f>X131*Inputs!$B$8</f>
        <v>0</v>
      </c>
      <c r="Z131" s="170">
        <f t="shared" si="84"/>
        <v>254</v>
      </c>
      <c r="AA131" s="104">
        <f>IF(AND(Z131&gt;=255,C131&lt;=Inputs!$B$7,V131&gt;0),(($AN$22-$AN$21)/($AM$22-$AM$21)*(Z131-$AM$21)+$AN$21)*O131,0)</f>
        <v>0</v>
      </c>
      <c r="AB131" s="104">
        <f t="shared" si="73"/>
        <v>0.58059292521155759</v>
      </c>
      <c r="AC131" s="46">
        <f t="shared" si="74"/>
        <v>2.2107916901730578</v>
      </c>
      <c r="AD131" s="46">
        <f t="shared" si="85"/>
        <v>0</v>
      </c>
      <c r="AE131" s="46">
        <f t="shared" si="75"/>
        <v>0.58059292521155759</v>
      </c>
      <c r="AF131" s="103">
        <f>IF(S131&gt;0,(((R131/O131)*S131)*Inputs!$B$12)+((Q131/O131)*S131)*Inputs!$B$23,0)</f>
        <v>0</v>
      </c>
      <c r="AG131" s="103">
        <f>IF(AA131&gt;0,(((W131/T131)*AA131)*Inputs!$B$12)+((V131/T131)*AA131)*Inputs!$B$23,0)</f>
        <v>0</v>
      </c>
      <c r="AH131" s="331">
        <f>IF(AB131&gt;0,((J131*Inputs!$B$18*Inputs!$B$41/$C$108)-O131),0)</f>
        <v>8.4404406495387607E-2</v>
      </c>
      <c r="AI131" s="331">
        <f>IFERROR(((R131/O131)*AH131)*((Inputs!$B$12)+(((Q131/O131)*AH131)*Inputs!$B$23)),0)</f>
        <v>2.0257057558893024E-2</v>
      </c>
      <c r="AJ131" s="47"/>
      <c r="AK131" s="47"/>
    </row>
    <row r="132" spans="2:40" ht="14.25" customHeight="1">
      <c r="B132" s="134">
        <v>0.79166666666666696</v>
      </c>
      <c r="C132" s="125">
        <f>Profiles!E51</f>
        <v>255</v>
      </c>
      <c r="D132" s="133">
        <f t="shared" si="76"/>
        <v>255</v>
      </c>
      <c r="E132" s="127">
        <v>0</v>
      </c>
      <c r="F132" s="127">
        <v>0</v>
      </c>
      <c r="G132" s="127">
        <v>0</v>
      </c>
      <c r="H132" s="127">
        <v>0</v>
      </c>
      <c r="I132" s="45">
        <f>Profiles!I25</f>
        <v>0.12</v>
      </c>
      <c r="J132" s="45">
        <f>Profiles!F51</f>
        <v>0</v>
      </c>
      <c r="K132" s="46">
        <f>Inputs!$B$9*Inputs!$A$44/$C$108*I132</f>
        <v>2.7913846153846156</v>
      </c>
      <c r="L132" s="46">
        <f t="shared" si="77"/>
        <v>1</v>
      </c>
      <c r="M132" s="114">
        <f>IF(Inputs!$B$26="Yes",VLOOKUP(D132,VWR[#All],2,FALSE),1)</f>
        <v>0.73333333333333339</v>
      </c>
      <c r="N132" s="114">
        <f>IF(Inputs!$B$27="Yes",VLOOKUP(D132,VVR[#All],2,FALSE),0)</f>
        <v>0.1</v>
      </c>
      <c r="O132" s="46">
        <f>(J132*Inputs!$B$18*Inputs!$B$44/$C$108)*M132</f>
        <v>0</v>
      </c>
      <c r="P132" s="46">
        <f t="shared" si="78"/>
        <v>2.7913846153846156</v>
      </c>
      <c r="Q132" s="46">
        <f t="shared" si="79"/>
        <v>0</v>
      </c>
      <c r="R132" s="46">
        <f t="shared" si="80"/>
        <v>0</v>
      </c>
      <c r="S132" s="103">
        <f t="shared" si="81"/>
        <v>0</v>
      </c>
      <c r="T132" s="46">
        <f t="shared" si="82"/>
        <v>0</v>
      </c>
      <c r="U132" s="46">
        <f t="shared" si="70"/>
        <v>2.7913846153846156</v>
      </c>
      <c r="V132" s="46">
        <f t="shared" si="83"/>
        <v>0</v>
      </c>
      <c r="W132" s="46">
        <f t="shared" si="71"/>
        <v>0</v>
      </c>
      <c r="X132" s="103">
        <f t="shared" si="72"/>
        <v>0</v>
      </c>
      <c r="Y132" s="46">
        <f>X132*Inputs!$B$8</f>
        <v>0</v>
      </c>
      <c r="Z132" s="170">
        <f t="shared" si="84"/>
        <v>255</v>
      </c>
      <c r="AA132" s="104">
        <f>IF(AND(Z132&gt;=255,C132&lt;=Inputs!$B$7,V132&gt;0),(($AN$22-$AN$21)/($AM$22-$AM$21)*(Z132-$AM$21)+$AN$21)*O132,0)</f>
        <v>0</v>
      </c>
      <c r="AB132" s="104">
        <f t="shared" si="73"/>
        <v>0</v>
      </c>
      <c r="AC132" s="46">
        <f t="shared" si="74"/>
        <v>2.7913846153846156</v>
      </c>
      <c r="AD132" s="46">
        <f t="shared" si="85"/>
        <v>0</v>
      </c>
      <c r="AE132" s="46">
        <f t="shared" si="75"/>
        <v>0</v>
      </c>
      <c r="AF132" s="103">
        <f>IF(S132&gt;0,(((R132/O132)*S132)*Inputs!$B$12)+((Q132/O132)*S132)*Inputs!$B$23,0)</f>
        <v>0</v>
      </c>
      <c r="AG132" s="103">
        <f>IF(AA132&gt;0,(((W132/T132)*AA132)*Inputs!$B$12)+((V132/T132)*AA132)*Inputs!$B$23,0)</f>
        <v>0</v>
      </c>
      <c r="AH132" s="331">
        <f>IF(AB132&gt;0,((J132*Inputs!$B$18*Inputs!$B$41/$C$108)-O132),0)</f>
        <v>0</v>
      </c>
      <c r="AI132" s="331">
        <f>IFERROR(((R132/O132)*AH132)*((Inputs!$B$12)+(((Q132/O132)*AH132)*Inputs!$B$23)),0)</f>
        <v>0</v>
      </c>
      <c r="AJ132" s="47"/>
      <c r="AK132" s="47"/>
    </row>
    <row r="133" spans="2:40" ht="14.25" customHeight="1">
      <c r="B133" s="134">
        <v>0.83333333333333304</v>
      </c>
      <c r="C133" s="125">
        <f>Profiles!E52</f>
        <v>255</v>
      </c>
      <c r="D133" s="133">
        <f t="shared" si="76"/>
        <v>255</v>
      </c>
      <c r="E133" s="127">
        <v>0</v>
      </c>
      <c r="F133" s="127">
        <v>0</v>
      </c>
      <c r="G133" s="127">
        <v>0</v>
      </c>
      <c r="H133" s="127">
        <v>0</v>
      </c>
      <c r="I133" s="45">
        <f>Profiles!I26</f>
        <v>0.08</v>
      </c>
      <c r="J133" s="45">
        <f>Profiles!F52</f>
        <v>0</v>
      </c>
      <c r="K133" s="46">
        <f>Inputs!$B$9*Inputs!$A$44/$C$108*I133</f>
        <v>1.8609230769230771</v>
      </c>
      <c r="L133" s="46">
        <f>IF(D133=C133,1,0)</f>
        <v>1</v>
      </c>
      <c r="M133" s="114">
        <f>IF(Inputs!$B$26="Yes",VLOOKUP(D133,VWR[#All],2,FALSE),1)</f>
        <v>0.73333333333333339</v>
      </c>
      <c r="N133" s="114">
        <f>IF(Inputs!$B$27="Yes",VLOOKUP(D133,VVR[#All],2,FALSE),0)</f>
        <v>0.1</v>
      </c>
      <c r="O133" s="46">
        <f>(J133*Inputs!$B$18*Inputs!$B$44/$C$108)*M133</f>
        <v>0</v>
      </c>
      <c r="P133" s="46">
        <f t="shared" si="78"/>
        <v>1.8609230769230771</v>
      </c>
      <c r="Q133" s="46">
        <f>IF(O133&gt;K133,MIN((O133-K133),5),0)</f>
        <v>0</v>
      </c>
      <c r="R133" s="46">
        <f t="shared" si="80"/>
        <v>0</v>
      </c>
      <c r="S133" s="103">
        <f t="shared" si="81"/>
        <v>0</v>
      </c>
      <c r="T133" s="46">
        <f t="shared" si="82"/>
        <v>0</v>
      </c>
      <c r="U133" s="46">
        <f t="shared" si="70"/>
        <v>1.8609230769230771</v>
      </c>
      <c r="V133" s="46">
        <f t="shared" si="83"/>
        <v>0</v>
      </c>
      <c r="W133" s="46">
        <f t="shared" si="71"/>
        <v>0</v>
      </c>
      <c r="X133" s="103">
        <f t="shared" si="72"/>
        <v>0</v>
      </c>
      <c r="Y133" s="46">
        <f>X133*Inputs!$B$8</f>
        <v>0</v>
      </c>
      <c r="Z133" s="170">
        <f t="shared" si="84"/>
        <v>255</v>
      </c>
      <c r="AA133" s="104">
        <f>IF(AND(Z133&gt;=255,C133&lt;=Inputs!$B$7,V133&gt;0),(($AN$22-$AN$21)/($AM$22-$AM$21)*(Z133-$AM$21)+$AN$21)*O133,0)</f>
        <v>0</v>
      </c>
      <c r="AB133" s="104">
        <f t="shared" si="73"/>
        <v>0</v>
      </c>
      <c r="AC133" s="46">
        <f t="shared" si="74"/>
        <v>1.8609230769230771</v>
      </c>
      <c r="AD133" s="46">
        <f t="shared" si="85"/>
        <v>0</v>
      </c>
      <c r="AE133" s="46">
        <f t="shared" si="75"/>
        <v>0</v>
      </c>
      <c r="AF133" s="103">
        <f>IF(S133&gt;0,(((R133/O133)*S133)*Inputs!$B$12)+((Q133/O133)*S133)*Inputs!$B$23,0)</f>
        <v>0</v>
      </c>
      <c r="AG133" s="103">
        <f>IF(AA133&gt;0,(((W133/T133)*AA133)*Inputs!$B$12)+((V133/T133)*AA133)*Inputs!$B$23,0)</f>
        <v>0</v>
      </c>
      <c r="AH133" s="331">
        <f>IF(AB133&gt;0,((J133*Inputs!$B$18*Inputs!$B$41/$C$108)-O133),0)</f>
        <v>0</v>
      </c>
      <c r="AI133" s="331">
        <f>IFERROR(((R133/O133)*AH133)*((Inputs!$B$12)+(((Q133/O133)*AH133)*Inputs!$B$23)),0)</f>
        <v>0</v>
      </c>
      <c r="AJ133" s="47"/>
      <c r="AK133" s="47"/>
    </row>
    <row r="134" spans="2:40" ht="14.25" customHeight="1">
      <c r="B134" s="134">
        <v>0.875</v>
      </c>
      <c r="C134" s="125">
        <f>Profiles!E53</f>
        <v>255</v>
      </c>
      <c r="D134" s="133">
        <f t="shared" si="76"/>
        <v>255</v>
      </c>
      <c r="E134" s="127">
        <v>0</v>
      </c>
      <c r="F134" s="127">
        <v>0</v>
      </c>
      <c r="G134" s="127">
        <v>0</v>
      </c>
      <c r="H134" s="127">
        <v>0</v>
      </c>
      <c r="I134" s="45">
        <f>Profiles!I27</f>
        <v>0.06</v>
      </c>
      <c r="J134" s="45">
        <f>Profiles!F53</f>
        <v>0</v>
      </c>
      <c r="K134" s="46">
        <f>Inputs!$B$9*Inputs!$A$44/$C$108*I134</f>
        <v>1.3956923076923078</v>
      </c>
      <c r="L134" s="46">
        <f t="shared" si="77"/>
        <v>1</v>
      </c>
      <c r="M134" s="114">
        <f>IF(Inputs!$B$26="Yes",VLOOKUP(D134,VWR[#All],2,FALSE),1)</f>
        <v>0.73333333333333339</v>
      </c>
      <c r="N134" s="114">
        <f>IF(Inputs!$B$27="Yes",VLOOKUP(D134,VVR[#All],2,FALSE),0)</f>
        <v>0.1</v>
      </c>
      <c r="O134" s="46">
        <f>(J134*Inputs!$B$18*Inputs!$B$44/$C$108)*M134</f>
        <v>0</v>
      </c>
      <c r="P134" s="46">
        <f t="shared" si="78"/>
        <v>1.3956923076923078</v>
      </c>
      <c r="Q134" s="46">
        <f t="shared" si="79"/>
        <v>0</v>
      </c>
      <c r="R134" s="46">
        <f t="shared" si="80"/>
        <v>0</v>
      </c>
      <c r="S134" s="103">
        <f t="shared" si="81"/>
        <v>0</v>
      </c>
      <c r="T134" s="46">
        <f t="shared" si="82"/>
        <v>0</v>
      </c>
      <c r="U134" s="46">
        <f t="shared" si="70"/>
        <v>1.3956923076923078</v>
      </c>
      <c r="V134" s="46">
        <f t="shared" si="83"/>
        <v>0</v>
      </c>
      <c r="W134" s="46">
        <f t="shared" si="71"/>
        <v>0</v>
      </c>
      <c r="X134" s="103">
        <f t="shared" si="72"/>
        <v>0</v>
      </c>
      <c r="Y134" s="46">
        <f>X134*Inputs!$B$8</f>
        <v>0</v>
      </c>
      <c r="Z134" s="170">
        <f t="shared" si="84"/>
        <v>255</v>
      </c>
      <c r="AA134" s="104">
        <f>IF(AND(Z134&gt;=255,C134&lt;=Inputs!$B$7,V134&gt;0),(($AN$22-$AN$21)/($AM$22-$AM$21)*(Z134-$AM$21)+$AN$21)*O134,0)</f>
        <v>0</v>
      </c>
      <c r="AB134" s="104">
        <f t="shared" si="73"/>
        <v>0</v>
      </c>
      <c r="AC134" s="46">
        <f t="shared" si="74"/>
        <v>1.3956923076923078</v>
      </c>
      <c r="AD134" s="46">
        <f t="shared" si="85"/>
        <v>0</v>
      </c>
      <c r="AE134" s="46">
        <f t="shared" si="75"/>
        <v>0</v>
      </c>
      <c r="AF134" s="103">
        <f>IF(S134&gt;0,(((R134/O134)*S134)*Inputs!$B$12)+((Q134/O134)*S134)*Inputs!$B$23,0)</f>
        <v>0</v>
      </c>
      <c r="AG134" s="103">
        <f>IF(AA134&gt;0,(((W134/T134)*AA134)*Inputs!$B$12)+((V134/T134)*AA134)*Inputs!$B$23,0)</f>
        <v>0</v>
      </c>
      <c r="AH134" s="331">
        <f>IF(AB134&gt;0,((J134*Inputs!$B$18*Inputs!$B$41/$C$108)-O134),0)</f>
        <v>0</v>
      </c>
      <c r="AI134" s="331">
        <f>IFERROR(((R134/O134)*AH134)*((Inputs!$B$12)+(((Q134/O134)*AH134)*Inputs!$B$23)),0)</f>
        <v>0</v>
      </c>
      <c r="AJ134" s="47"/>
      <c r="AK134" s="47"/>
    </row>
    <row r="135" spans="2:40" ht="14.25" customHeight="1">
      <c r="B135" s="134">
        <v>0.91666666666666696</v>
      </c>
      <c r="C135" s="125">
        <f>Profiles!E54</f>
        <v>255</v>
      </c>
      <c r="D135" s="133">
        <f t="shared" si="76"/>
        <v>255</v>
      </c>
      <c r="E135" s="127">
        <v>0</v>
      </c>
      <c r="F135" s="127">
        <v>0</v>
      </c>
      <c r="G135" s="127">
        <v>0</v>
      </c>
      <c r="H135" s="127">
        <v>0</v>
      </c>
      <c r="I135" s="45">
        <f>Profiles!I28</f>
        <v>0.03</v>
      </c>
      <c r="J135" s="45">
        <f>Profiles!F54</f>
        <v>0</v>
      </c>
      <c r="K135" s="46">
        <f>Inputs!$B$9*Inputs!$A$44/$C$108*I135</f>
        <v>0.69784615384615389</v>
      </c>
      <c r="L135" s="46">
        <f t="shared" si="77"/>
        <v>1</v>
      </c>
      <c r="M135" s="114">
        <f>IF(Inputs!$B$26="Yes",VLOOKUP(D135,VWR[#All],2,FALSE),1)</f>
        <v>0.73333333333333339</v>
      </c>
      <c r="N135" s="114">
        <f>IF(Inputs!$B$27="Yes",VLOOKUP(D135,VVR[#All],2,FALSE),0)</f>
        <v>0.1</v>
      </c>
      <c r="O135" s="46">
        <f>(J135*Inputs!$B$18*Inputs!$B$44/$C$108)*M135</f>
        <v>0</v>
      </c>
      <c r="P135" s="46">
        <f t="shared" si="78"/>
        <v>0.69784615384615389</v>
      </c>
      <c r="Q135" s="46">
        <f t="shared" si="79"/>
        <v>0</v>
      </c>
      <c r="R135" s="46">
        <f t="shared" si="80"/>
        <v>0</v>
      </c>
      <c r="S135" s="103">
        <f t="shared" si="81"/>
        <v>0</v>
      </c>
      <c r="T135" s="46">
        <f t="shared" si="82"/>
        <v>0</v>
      </c>
      <c r="U135" s="46">
        <f t="shared" si="70"/>
        <v>0.69784615384615389</v>
      </c>
      <c r="V135" s="46">
        <f t="shared" si="83"/>
        <v>0</v>
      </c>
      <c r="W135" s="46">
        <f t="shared" si="71"/>
        <v>0</v>
      </c>
      <c r="X135" s="103">
        <f t="shared" si="72"/>
        <v>0</v>
      </c>
      <c r="Y135" s="46">
        <f>X135*Inputs!$B$8</f>
        <v>0</v>
      </c>
      <c r="Z135" s="170">
        <f t="shared" si="84"/>
        <v>255</v>
      </c>
      <c r="AA135" s="104">
        <f>IF(AND(Z135&gt;=255,C135&lt;=Inputs!$B$7,V135&gt;0),(($AN$22-$AN$21)/($AM$22-$AM$21)*(Z135-$AM$21)+$AN$21)*O135,0)</f>
        <v>0</v>
      </c>
      <c r="AB135" s="104">
        <f t="shared" si="73"/>
        <v>0</v>
      </c>
      <c r="AC135" s="46">
        <f t="shared" si="74"/>
        <v>0.69784615384615389</v>
      </c>
      <c r="AD135" s="46">
        <f t="shared" si="85"/>
        <v>0</v>
      </c>
      <c r="AE135" s="46">
        <f t="shared" si="75"/>
        <v>0</v>
      </c>
      <c r="AF135" s="103">
        <f>IF(S135&gt;0,(((R135/O135)*S135)*Inputs!$B$12)+((Q135/O135)*S135)*Inputs!$B$23,0)</f>
        <v>0</v>
      </c>
      <c r="AG135" s="103">
        <f>IF(AA135&gt;0,(((W135/T135)*AA135)*Inputs!$B$12)+((V135/T135)*AA135)*Inputs!$B$23,0)</f>
        <v>0</v>
      </c>
      <c r="AH135" s="331">
        <f>IF(AB135&gt;0,((J135*Inputs!$B$18*Inputs!$B$41/$C$108)-O135),0)</f>
        <v>0</v>
      </c>
      <c r="AI135" s="331">
        <f>IFERROR(((R135/O135)*AH135)*((Inputs!$B$12)+(((Q135/O135)*AH135)*Inputs!$B$23)),0)</f>
        <v>0</v>
      </c>
      <c r="AJ135" s="47"/>
      <c r="AK135" s="47"/>
    </row>
    <row r="136" spans="2:40" ht="14.25" customHeight="1">
      <c r="B136" s="134">
        <v>0.95833333333333304</v>
      </c>
      <c r="C136" s="125">
        <f>Profiles!E55</f>
        <v>255</v>
      </c>
      <c r="D136" s="133">
        <f t="shared" si="76"/>
        <v>255</v>
      </c>
      <c r="E136" s="127">
        <v>0</v>
      </c>
      <c r="F136" s="127">
        <v>0</v>
      </c>
      <c r="G136" s="127">
        <v>0</v>
      </c>
      <c r="H136" s="127">
        <v>0</v>
      </c>
      <c r="I136" s="45">
        <f>Profiles!I29</f>
        <v>0.01</v>
      </c>
      <c r="J136" s="45">
        <f>Profiles!F55</f>
        <v>0</v>
      </c>
      <c r="K136" s="46">
        <f>Inputs!$B$9*Inputs!$A$44/$C$108*I136</f>
        <v>0.23261538461538464</v>
      </c>
      <c r="L136" s="46">
        <f t="shared" si="77"/>
        <v>1</v>
      </c>
      <c r="M136" s="114">
        <f>IF(Inputs!$B$26="Yes",VLOOKUP(D136,VWR[#All],2,FALSE),1)</f>
        <v>0.73333333333333339</v>
      </c>
      <c r="N136" s="114">
        <f>IF(Inputs!$B$27="Yes",VLOOKUP(D136,VVR[#All],2,FALSE),0)</f>
        <v>0.1</v>
      </c>
      <c r="O136" s="46">
        <f>(J136*Inputs!$B$18*Inputs!$B$44/$C$108)*M136</f>
        <v>0</v>
      </c>
      <c r="P136" s="46">
        <f t="shared" si="78"/>
        <v>0.23261538461538464</v>
      </c>
      <c r="Q136" s="46">
        <f t="shared" si="79"/>
        <v>0</v>
      </c>
      <c r="R136" s="46">
        <f t="shared" si="80"/>
        <v>0</v>
      </c>
      <c r="S136" s="103">
        <f t="shared" si="81"/>
        <v>0</v>
      </c>
      <c r="T136" s="46">
        <f t="shared" si="82"/>
        <v>0</v>
      </c>
      <c r="U136" s="46">
        <f t="shared" si="70"/>
        <v>0.23261538461538464</v>
      </c>
      <c r="V136" s="46">
        <f t="shared" si="83"/>
        <v>0</v>
      </c>
      <c r="W136" s="46">
        <f t="shared" si="71"/>
        <v>0</v>
      </c>
      <c r="X136" s="103">
        <f t="shared" si="72"/>
        <v>0</v>
      </c>
      <c r="Y136" s="46">
        <f>X136*Inputs!$B$8</f>
        <v>0</v>
      </c>
      <c r="Z136" s="170">
        <f t="shared" si="84"/>
        <v>255</v>
      </c>
      <c r="AA136" s="104">
        <f>IF(AND(Z136&gt;=255,C136&lt;=Inputs!$B$7,V136&gt;0),(($AN$22-$AN$21)/($AM$22-$AM$21)*(Z136-$AM$21)+$AN$21)*O136,0)</f>
        <v>0</v>
      </c>
      <c r="AB136" s="104">
        <f t="shared" si="73"/>
        <v>0</v>
      </c>
      <c r="AC136" s="46">
        <f t="shared" si="74"/>
        <v>0.23261538461538464</v>
      </c>
      <c r="AD136" s="46">
        <f t="shared" si="85"/>
        <v>0</v>
      </c>
      <c r="AE136" s="46">
        <f t="shared" si="75"/>
        <v>0</v>
      </c>
      <c r="AF136" s="103">
        <f>IF(S136&gt;0,(((R136/O136)*S136)*Inputs!$B$12)+((Q136/O136)*S136)*Inputs!$B$23,0)</f>
        <v>0</v>
      </c>
      <c r="AG136" s="103">
        <f>IF(AA136&gt;0,(((W136/T136)*AA136)*Inputs!$B$12)+((V136/T136)*AA136)*Inputs!$B$23,0)</f>
        <v>0</v>
      </c>
      <c r="AH136" s="331">
        <f>IF(AB136&gt;0,((J136*Inputs!$B$18*Inputs!$B$41/$C$108)-O136),0)</f>
        <v>0</v>
      </c>
      <c r="AI136" s="331">
        <f>IFERROR(((R136/O136)*AH136)*((Inputs!$B$12)+(((Q136/O136)*AH136)*Inputs!$B$23)),0)</f>
        <v>0</v>
      </c>
      <c r="AJ136" s="47"/>
      <c r="AK136" s="47"/>
    </row>
    <row r="137" spans="2:40" s="86" customFormat="1" ht="14.65" thickBot="1">
      <c r="C137" s="122"/>
      <c r="D137" s="122"/>
      <c r="E137" s="122"/>
      <c r="F137" s="122"/>
      <c r="G137" s="122"/>
      <c r="H137" s="122"/>
      <c r="I137" s="87"/>
      <c r="S137" s="88"/>
    </row>
    <row r="138" spans="2:40" s="251" customFormat="1">
      <c r="C138" s="252"/>
      <c r="D138" s="252"/>
      <c r="E138" s="252"/>
      <c r="F138" s="252"/>
      <c r="G138" s="252"/>
      <c r="H138" s="252"/>
      <c r="I138" s="253"/>
      <c r="S138" s="254"/>
    </row>
    <row r="139" spans="2:40" ht="18">
      <c r="B139" s="144" t="s">
        <v>68</v>
      </c>
      <c r="C139" s="144">
        <f>C18</f>
        <v>90</v>
      </c>
      <c r="D139" s="116"/>
      <c r="E139" s="116"/>
      <c r="F139" s="116"/>
      <c r="G139" s="116"/>
      <c r="H139" s="116"/>
      <c r="S139" s="46"/>
    </row>
    <row r="140" spans="2:40" ht="18">
      <c r="B140" s="49" t="s">
        <v>110</v>
      </c>
      <c r="C140" s="117"/>
      <c r="D140" s="117"/>
      <c r="E140" s="117"/>
      <c r="F140" s="117"/>
      <c r="G140" s="117"/>
      <c r="H140" s="117"/>
      <c r="I140" s="349" t="s">
        <v>70</v>
      </c>
      <c r="J140" s="350"/>
      <c r="K140" s="351" t="s">
        <v>71</v>
      </c>
      <c r="L140" s="351"/>
      <c r="M140" s="351"/>
      <c r="N140" s="351"/>
      <c r="O140" s="351"/>
      <c r="P140" s="351"/>
      <c r="Q140" s="351"/>
      <c r="R140" s="351"/>
      <c r="S140" s="352" t="s">
        <v>72</v>
      </c>
      <c r="T140" s="352"/>
      <c r="U140" s="352"/>
      <c r="V140" s="352"/>
      <c r="W140" s="352"/>
      <c r="X140" s="353" t="s">
        <v>73</v>
      </c>
      <c r="Y140" s="354"/>
      <c r="Z140" s="354"/>
      <c r="AA140" s="355"/>
      <c r="AB140" s="356" t="s">
        <v>74</v>
      </c>
      <c r="AC140" s="357"/>
      <c r="AD140" s="357"/>
      <c r="AE140" s="358"/>
      <c r="AF140" s="348" t="s">
        <v>111</v>
      </c>
      <c r="AG140" s="348"/>
      <c r="AH140" s="348"/>
      <c r="AI140" s="348"/>
      <c r="AJ140" s="348"/>
      <c r="AK140" s="348"/>
      <c r="AL140" s="348"/>
      <c r="AM140" s="348"/>
    </row>
    <row r="141" spans="2:40" ht="55.5" customHeight="1">
      <c r="B141" s="38" t="s">
        <v>76</v>
      </c>
      <c r="C141" s="129" t="s">
        <v>23</v>
      </c>
      <c r="D141" s="129" t="s">
        <v>24</v>
      </c>
      <c r="E141" s="129" t="s">
        <v>77</v>
      </c>
      <c r="F141" s="129" t="s">
        <v>78</v>
      </c>
      <c r="G141" s="129" t="s">
        <v>79</v>
      </c>
      <c r="H141" s="129" t="s">
        <v>80</v>
      </c>
      <c r="I141" s="39" t="s">
        <v>81</v>
      </c>
      <c r="J141" s="39" t="s">
        <v>82</v>
      </c>
      <c r="K141" s="39" t="s">
        <v>83</v>
      </c>
      <c r="L141" s="39" t="s">
        <v>112</v>
      </c>
      <c r="M141" s="39" t="s">
        <v>240</v>
      </c>
      <c r="N141" s="39" t="s">
        <v>248</v>
      </c>
      <c r="O141" s="39" t="s">
        <v>85</v>
      </c>
      <c r="P141" s="39" t="s">
        <v>86</v>
      </c>
      <c r="Q141" s="39" t="s">
        <v>87</v>
      </c>
      <c r="R141" s="39" t="s">
        <v>88</v>
      </c>
      <c r="S141" s="39" t="s">
        <v>89</v>
      </c>
      <c r="T141" s="39" t="s">
        <v>85</v>
      </c>
      <c r="U141" s="39" t="s">
        <v>86</v>
      </c>
      <c r="V141" s="39" t="s">
        <v>87</v>
      </c>
      <c r="W141" s="39" t="s">
        <v>88</v>
      </c>
      <c r="X141" s="39" t="s">
        <v>90</v>
      </c>
      <c r="Y141" s="39" t="s">
        <v>91</v>
      </c>
      <c r="Z141" s="39" t="s">
        <v>92</v>
      </c>
      <c r="AA141" s="39" t="s">
        <v>93</v>
      </c>
      <c r="AB141" s="39" t="s">
        <v>85</v>
      </c>
      <c r="AC141" s="39" t="s">
        <v>86</v>
      </c>
      <c r="AD141" s="39" t="s">
        <v>87</v>
      </c>
      <c r="AE141" s="39" t="s">
        <v>88</v>
      </c>
      <c r="AF141" s="39" t="s">
        <v>94</v>
      </c>
      <c r="AG141" s="39" t="s">
        <v>113</v>
      </c>
      <c r="AH141" s="39" t="s">
        <v>253</v>
      </c>
      <c r="AI141" s="39" t="s">
        <v>253</v>
      </c>
      <c r="AJ141" s="255"/>
      <c r="AK141" s="255"/>
      <c r="AL141" s="39" t="s">
        <v>114</v>
      </c>
      <c r="AM141" s="39" t="s">
        <v>115</v>
      </c>
      <c r="AN141" s="303"/>
    </row>
    <row r="142" spans="2:40">
      <c r="B142" s="38"/>
      <c r="C142" s="132" t="s">
        <v>98</v>
      </c>
      <c r="D142" s="130" t="s">
        <v>98</v>
      </c>
      <c r="E142" s="131"/>
      <c r="F142" s="131"/>
      <c r="G142" s="131"/>
      <c r="H142" s="131"/>
      <c r="I142" s="39" t="s">
        <v>99</v>
      </c>
      <c r="J142" s="39" t="s">
        <v>99</v>
      </c>
      <c r="K142" s="39" t="s">
        <v>100</v>
      </c>
      <c r="L142" s="39" t="s">
        <v>101</v>
      </c>
      <c r="M142" s="39" t="s">
        <v>101</v>
      </c>
      <c r="N142" s="39" t="s">
        <v>101</v>
      </c>
      <c r="O142" s="39" t="s">
        <v>100</v>
      </c>
      <c r="P142" s="39" t="s">
        <v>100</v>
      </c>
      <c r="Q142" s="39" t="s">
        <v>100</v>
      </c>
      <c r="R142" s="39" t="s">
        <v>100</v>
      </c>
      <c r="S142" s="39" t="s">
        <v>100</v>
      </c>
      <c r="T142" s="39" t="s">
        <v>100</v>
      </c>
      <c r="U142" s="39" t="s">
        <v>100</v>
      </c>
      <c r="V142" s="39" t="s">
        <v>100</v>
      </c>
      <c r="W142" s="39" t="s">
        <v>100</v>
      </c>
      <c r="X142" s="39" t="s">
        <v>102</v>
      </c>
      <c r="Y142" s="39" t="s">
        <v>98</v>
      </c>
      <c r="Z142" s="39" t="s">
        <v>98</v>
      </c>
      <c r="AA142" s="39" t="s">
        <v>100</v>
      </c>
      <c r="AB142" s="39" t="s">
        <v>100</v>
      </c>
      <c r="AC142" s="39" t="s">
        <v>100</v>
      </c>
      <c r="AD142" s="39" t="s">
        <v>100</v>
      </c>
      <c r="AE142" s="39" t="s">
        <v>100</v>
      </c>
      <c r="AF142" s="39" t="s">
        <v>67</v>
      </c>
      <c r="AG142" s="39" t="s">
        <v>67</v>
      </c>
      <c r="AH142" s="39" t="s">
        <v>100</v>
      </c>
      <c r="AI142" s="39" t="s">
        <v>67</v>
      </c>
      <c r="AJ142" s="255"/>
      <c r="AK142" s="255"/>
      <c r="AL142" s="39" t="s">
        <v>67</v>
      </c>
      <c r="AM142" s="39" t="s">
        <v>67</v>
      </c>
      <c r="AN142" s="48"/>
    </row>
    <row r="143" spans="2:40">
      <c r="B143" s="41" t="s">
        <v>20</v>
      </c>
      <c r="C143" s="119"/>
      <c r="D143" s="119"/>
      <c r="E143" s="119"/>
      <c r="F143" s="119"/>
      <c r="G143" s="119"/>
      <c r="H143" s="119"/>
      <c r="I143" s="42">
        <f t="shared" ref="I143:J143" si="86">SUM(I144:I167)</f>
        <v>1.0000000000000002</v>
      </c>
      <c r="J143" s="42">
        <f t="shared" si="86"/>
        <v>1</v>
      </c>
      <c r="K143" s="43">
        <f>SUM(K144:K167)</f>
        <v>22.61508010032107</v>
      </c>
      <c r="L143" s="155">
        <f>SUM(L144:L167)/24</f>
        <v>0</v>
      </c>
      <c r="M143" s="155"/>
      <c r="N143" s="340">
        <f>AVERAGE(N144:N167)</f>
        <v>0</v>
      </c>
      <c r="O143" s="43">
        <f>SUM(O144:O167)</f>
        <v>33.619309547406672</v>
      </c>
      <c r="P143" s="43">
        <f t="shared" ref="P143:R143" si="87">SUM(P144:P167)</f>
        <v>14.764049733984983</v>
      </c>
      <c r="Q143" s="43">
        <f t="shared" si="87"/>
        <v>25.768279181070586</v>
      </c>
      <c r="R143" s="43">
        <f t="shared" si="87"/>
        <v>7.8510303663360848</v>
      </c>
      <c r="S143" s="43">
        <f t="shared" ref="S143" si="88">SUM(S144:S167)</f>
        <v>0</v>
      </c>
      <c r="T143" s="43">
        <f>SUM(T144:T167)</f>
        <v>33.619309547406672</v>
      </c>
      <c r="U143" s="43">
        <f t="shared" ref="U143" si="89">SUM(U144:U167)</f>
        <v>14.764049733984983</v>
      </c>
      <c r="V143" s="43">
        <f>SUM(V144:V167)</f>
        <v>25.768279181070586</v>
      </c>
      <c r="W143" s="43">
        <f>SUM(W144:W167)</f>
        <v>7.8510303663360848</v>
      </c>
      <c r="X143" s="43">
        <f>AVERAGEIFS(X144:X167,V144:V167,"&gt;0")</f>
        <v>11.18100208223691</v>
      </c>
      <c r="Y143" s="43">
        <f>AVERAGEIFS(Y144:Y167,V144:V167,"&gt;0")</f>
        <v>4.2487807912500264</v>
      </c>
      <c r="Z143" s="43">
        <f>AVERAGEIFS(Z144:Z167,V144:V167,"&gt;0")</f>
        <v>224.24878079125003</v>
      </c>
      <c r="AA143" s="43">
        <f t="shared" ref="AA143:AI143" si="90">SUM(AA144:AA167)</f>
        <v>0</v>
      </c>
      <c r="AB143" s="43">
        <f t="shared" si="90"/>
        <v>33.619309547406672</v>
      </c>
      <c r="AC143" s="43">
        <f t="shared" si="90"/>
        <v>14.764049733984983</v>
      </c>
      <c r="AD143" s="43">
        <f t="shared" si="90"/>
        <v>25.768279181070586</v>
      </c>
      <c r="AE143" s="43">
        <f t="shared" si="90"/>
        <v>7.8510303663360848</v>
      </c>
      <c r="AF143" s="43">
        <f t="shared" si="90"/>
        <v>0</v>
      </c>
      <c r="AG143" s="43">
        <f t="shared" si="90"/>
        <v>0</v>
      </c>
      <c r="AH143" s="43">
        <f t="shared" si="90"/>
        <v>0</v>
      </c>
      <c r="AI143" s="43">
        <f t="shared" si="90"/>
        <v>0</v>
      </c>
      <c r="AJ143" s="255"/>
      <c r="AK143" s="255"/>
      <c r="AL143" s="43">
        <f t="shared" ref="AL143" si="91">SUM(AL144:AL167)</f>
        <v>1.9047031470352298</v>
      </c>
      <c r="AM143" s="43">
        <f t="shared" ref="AM143" si="92">SUM(AM144:AM167)</f>
        <v>0.59798077592294419</v>
      </c>
    </row>
    <row r="144" spans="2:40">
      <c r="B144" s="134">
        <v>0</v>
      </c>
      <c r="C144" s="123">
        <f>Profiles!E32</f>
        <v>255</v>
      </c>
      <c r="D144" s="126">
        <f>IF(C144&lt;Inputs!$B$7,Inputs!$B$6,C144)</f>
        <v>220</v>
      </c>
      <c r="E144" s="127">
        <f>IF(VLOOKUP(K23,Profiles!$B$58:$C$88,2,TRUE)&gt;0,VLOOKUP(K23,Profiles!$B$58:$C$88,2,TRUE),0)</f>
        <v>0.92</v>
      </c>
      <c r="F144" s="127">
        <f>(C144-D144)/C144</f>
        <v>0.13725490196078433</v>
      </c>
      <c r="G144" s="127">
        <f>F144*Inputs!$B$11</f>
        <v>0.12490196078431375</v>
      </c>
      <c r="H144" s="127">
        <f>IFERROR(((G144-1)/E144+1),0)</f>
        <v>4.8806479113384538E-2</v>
      </c>
      <c r="I144" s="45">
        <f>Profiles!I6</f>
        <v>0.01</v>
      </c>
      <c r="J144" s="45">
        <f>Profiles!F32</f>
        <v>0</v>
      </c>
      <c r="K144" s="46">
        <f>IF(AND(H144&gt;0,K23&lt;Inputs!$B$15),K23*(1-H144),K23)</f>
        <v>0.23881298664393297</v>
      </c>
      <c r="L144" s="46">
        <f>IF(D144=C144,1,0)</f>
        <v>0</v>
      </c>
      <c r="M144" s="114">
        <f>IF(Inputs!$B$26="Yes",VLOOKUP(D144,VWR[#All],2,FALSE),1)</f>
        <v>1</v>
      </c>
      <c r="N144" s="114">
        <f>IF(Inputs!$B$27="Yes",VLOOKUP(D144,VVR[#All],2,FALSE),0)</f>
        <v>0</v>
      </c>
      <c r="O144" s="46">
        <f>(J23*Inputs!$B$18*Inputs!$B$41/$C$18)*M144</f>
        <v>0</v>
      </c>
      <c r="P144" s="46">
        <f>IF(O144&gt;K144,0,K144-O144)</f>
        <v>0.23881298664393297</v>
      </c>
      <c r="Q144" s="46">
        <f>IF(O144&gt;K144,MIN((O144-K144),5),0)</f>
        <v>0</v>
      </c>
      <c r="R144" s="46">
        <f>IF(O144&gt;K144,K144,O144)</f>
        <v>0</v>
      </c>
      <c r="S144" s="103">
        <f>IF(D144&gt;255,O144,0)</f>
        <v>0</v>
      </c>
      <c r="T144" s="46">
        <f>O144-S144</f>
        <v>0</v>
      </c>
      <c r="U144" s="46">
        <f t="shared" ref="U144:U167" si="93">IF(T144&gt;K144,0,K144-T144)</f>
        <v>0.23881298664393297</v>
      </c>
      <c r="V144" s="46">
        <f>IF(T144&gt;K144,MIN((T144-K144),5),0)</f>
        <v>0</v>
      </c>
      <c r="W144" s="46">
        <f t="shared" ref="W144:W167" si="94">IF(T144&gt;K144,K144,T144)</f>
        <v>0</v>
      </c>
      <c r="X144" s="103">
        <f t="shared" ref="X144:X167" si="95">V144*1000/C144</f>
        <v>0</v>
      </c>
      <c r="Y144" s="46">
        <f>X144*Inputs!$B$8</f>
        <v>0</v>
      </c>
      <c r="Z144" s="170">
        <f t="shared" ref="Z144:Z167" si="96">Y144+D144</f>
        <v>220</v>
      </c>
      <c r="AA144" s="104">
        <f t="shared" ref="AA144:AA167" si="97">IF(AND(V144&gt;0,Z144=$AM$22),2/3*V144,IF(AND(V144&gt;0,Z144=$AM$21),1/6*V144,IF(AND($AM$21&lt;Z144,Z144&lt;$AM$22),(($AN$22-$AN$21)/($AM$22-$AM$21)*(Z144-$AM$21)+$AN$21)*V144,0)))</f>
        <v>0</v>
      </c>
      <c r="AB144" s="104">
        <f t="shared" ref="AB144:AB167" si="98">T144-AA144</f>
        <v>0</v>
      </c>
      <c r="AC144" s="46">
        <f t="shared" ref="AC144:AC167" si="99">IF(AB144&gt;K144,0,K144-AB144)</f>
        <v>0.23881298664393297</v>
      </c>
      <c r="AD144" s="46">
        <f>IF(AB144&gt;K144,MIN((AB144-K144),5),0)</f>
        <v>0</v>
      </c>
      <c r="AE144" s="46">
        <f t="shared" ref="AE144:AE167" si="100">IF(AB144&gt;K144,K144,AB144)</f>
        <v>0</v>
      </c>
      <c r="AF144" s="103">
        <f>IF(S144&gt;0,(((R144/O144)*S144)*Inputs!$B$12)+((Q144/O144)*S144)*Inputs!$B$23,0)</f>
        <v>0</v>
      </c>
      <c r="AG144" s="103">
        <f>IF(AA144&gt;0,(((W144/T144)*AA144)*Inputs!$B$12)+((V144/T144)*AA144)*Inputs!$B$23,0)</f>
        <v>0</v>
      </c>
      <c r="AH144" s="331">
        <f>IF(AB144&gt;0,((J144*Inputs!$B$18*Inputs!$B$41/$C$18)-O144),0)</f>
        <v>0</v>
      </c>
      <c r="AI144" s="331">
        <f>IFERROR(((R144/O144)*AH144)*((Inputs!$B$12)+(((Q144/O144)*AH144)*Inputs!$B$23)),0)</f>
        <v>0</v>
      </c>
      <c r="AJ144" s="255"/>
      <c r="AK144" s="255"/>
      <c r="AL144" s="255">
        <f>IF(O144&gt;0,((R144/O144)*(O144-O23)*Inputs!$B$12)+((Q144/O144)*(O144-O23)*Inputs!$B$23),0)</f>
        <v>0</v>
      </c>
      <c r="AM144" s="103">
        <f>(K23-K144)*Inputs!$B$12</f>
        <v>2.9408832054560997E-3</v>
      </c>
    </row>
    <row r="145" spans="2:39">
      <c r="B145" s="134">
        <v>4.1666666666666664E-2</v>
      </c>
      <c r="C145" s="124">
        <f>Profiles!E33</f>
        <v>255</v>
      </c>
      <c r="D145" s="126">
        <f>IF(C145&lt;Inputs!$B$7,Inputs!$B$6,C145)</f>
        <v>220</v>
      </c>
      <c r="E145" s="127">
        <f>IF(VLOOKUP(K24,Profiles!$B$58:$C$88,2,TRUE)&gt;0,VLOOKUP(K24,Profiles!$B$58:$C$88,2,TRUE),0)</f>
        <v>0.92</v>
      </c>
      <c r="F145" s="127">
        <f t="shared" ref="F145:F167" si="101">(C145-D145)/C145</f>
        <v>0.13725490196078433</v>
      </c>
      <c r="G145" s="127">
        <f>F145*Inputs!$B$11</f>
        <v>0.12490196078431375</v>
      </c>
      <c r="H145" s="127">
        <f>IFERROR(((G145-1)/E145+1),0)</f>
        <v>4.8806479113384538E-2</v>
      </c>
      <c r="I145" s="45">
        <f>Profiles!I7</f>
        <v>0.01</v>
      </c>
      <c r="J145" s="45">
        <f>Profiles!F33</f>
        <v>0</v>
      </c>
      <c r="K145" s="46">
        <f>IF(AND(H145&gt;0,K24&lt;Inputs!$B$15),K24*(1-H145),K24)</f>
        <v>0.23881298664393297</v>
      </c>
      <c r="L145" s="46">
        <f t="shared" ref="L145:L167" si="102">IF(D145=C145,1,0)</f>
        <v>0</v>
      </c>
      <c r="M145" s="114">
        <f>IF(Inputs!$B$26="Yes",VLOOKUP(D145,VWR[#All],2,FALSE),1)</f>
        <v>1</v>
      </c>
      <c r="N145" s="114">
        <f>IF(Inputs!$B$27="Yes",VLOOKUP(D145,VVR[#All],2,FALSE),0)</f>
        <v>0</v>
      </c>
      <c r="O145" s="46">
        <f>(J24*Inputs!$B$18*Inputs!$B$41/$C$18)*M145</f>
        <v>0</v>
      </c>
      <c r="P145" s="46">
        <f t="shared" ref="P145:P167" si="103">IF(O145&gt;K145,0,K145-O145)</f>
        <v>0.23881298664393297</v>
      </c>
      <c r="Q145" s="46">
        <f t="shared" ref="Q145:Q167" si="104">IF(O145&gt;K145,MIN((O145-K145),5),0)</f>
        <v>0</v>
      </c>
      <c r="R145" s="46">
        <f t="shared" ref="R145:R167" si="105">IF(O145&gt;K145,K145,O145)</f>
        <v>0</v>
      </c>
      <c r="S145" s="103">
        <f t="shared" ref="S145:S167" si="106">IF(D145&gt;255,O145,0)</f>
        <v>0</v>
      </c>
      <c r="T145" s="46">
        <f t="shared" ref="T145:T167" si="107">O145-S145</f>
        <v>0</v>
      </c>
      <c r="U145" s="46">
        <f t="shared" si="93"/>
        <v>0.23881298664393297</v>
      </c>
      <c r="V145" s="46">
        <f t="shared" ref="V145:V167" si="108">IF(T145&gt;K145,MIN((T145-K145),5),0)</f>
        <v>0</v>
      </c>
      <c r="W145" s="46">
        <f t="shared" si="94"/>
        <v>0</v>
      </c>
      <c r="X145" s="103">
        <f t="shared" si="95"/>
        <v>0</v>
      </c>
      <c r="Y145" s="46">
        <f>X145*Inputs!$B$8</f>
        <v>0</v>
      </c>
      <c r="Z145" s="170">
        <f t="shared" si="96"/>
        <v>220</v>
      </c>
      <c r="AA145" s="104">
        <f t="shared" si="97"/>
        <v>0</v>
      </c>
      <c r="AB145" s="104">
        <f t="shared" si="98"/>
        <v>0</v>
      </c>
      <c r="AC145" s="46">
        <f t="shared" si="99"/>
        <v>0.23881298664393297</v>
      </c>
      <c r="AD145" s="46">
        <f t="shared" ref="AD145:AD167" si="109">IF(AB145&gt;K145,MIN((AB145-K145),5),0)</f>
        <v>0</v>
      </c>
      <c r="AE145" s="46">
        <f t="shared" si="100"/>
        <v>0</v>
      </c>
      <c r="AF145" s="103">
        <f>IF(S145&gt;0,(((R145/O145)*S145)*Inputs!$B$12)+((Q145/O145)*S145)*Inputs!$B$23,0)</f>
        <v>0</v>
      </c>
      <c r="AG145" s="103">
        <f>IF(AA145&gt;0,(((W145/T145)*AA145)*Inputs!$B$12)+((V145/T145)*AA145)*Inputs!$B$23,0)</f>
        <v>0</v>
      </c>
      <c r="AH145" s="331">
        <f>IF(AB145&gt;0,((J145*Inputs!$B$18*Inputs!$B$41/$C$18)-O145),0)</f>
        <v>0</v>
      </c>
      <c r="AI145" s="331">
        <f>IFERROR(((R145/O145)*AH145)*((Inputs!$B$12)+(((Q145/O145)*AH145)*Inputs!$B$23)),0)</f>
        <v>0</v>
      </c>
      <c r="AJ145" s="255"/>
      <c r="AK145" s="255"/>
      <c r="AL145" s="255">
        <f>IF(O145&gt;0,((R145/O145)*(O145-O24)*Inputs!$B$12)+((Q145/O145)*(O145-O24)*Inputs!$B$23),0)</f>
        <v>0</v>
      </c>
      <c r="AM145" s="103">
        <f>(K24-K145)*Inputs!$B$12</f>
        <v>2.9408832054560997E-3</v>
      </c>
    </row>
    <row r="146" spans="2:39">
      <c r="B146" s="134">
        <v>8.3333333333333329E-2</v>
      </c>
      <c r="C146" s="125">
        <f>Profiles!E34</f>
        <v>255</v>
      </c>
      <c r="D146" s="126">
        <f>IF(C146&lt;Inputs!$B$7,Inputs!$B$6,C146)</f>
        <v>220</v>
      </c>
      <c r="E146" s="127">
        <f>IF(VLOOKUP(K25,Profiles!$B$58:$C$88,2,TRUE)&gt;0,VLOOKUP(K25,Profiles!$B$58:$C$88,2,TRUE),0)</f>
        <v>0.92</v>
      </c>
      <c r="F146" s="127">
        <f t="shared" si="101"/>
        <v>0.13725490196078433</v>
      </c>
      <c r="G146" s="127">
        <f>F146*Inputs!$B$11</f>
        <v>0.12490196078431375</v>
      </c>
      <c r="H146" s="127">
        <f t="shared" ref="H146:H167" si="110">IFERROR(((G146-1)/E146+1),0)</f>
        <v>4.8806479113384538E-2</v>
      </c>
      <c r="I146" s="45">
        <f>Profiles!I8</f>
        <v>0.01</v>
      </c>
      <c r="J146" s="45">
        <f>Profiles!F34</f>
        <v>0</v>
      </c>
      <c r="K146" s="46">
        <f>IF(AND(H146&gt;0,K25&lt;Inputs!$B$15),K25*(1-H146),K25)</f>
        <v>0.23881298664393297</v>
      </c>
      <c r="L146" s="46">
        <f t="shared" si="102"/>
        <v>0</v>
      </c>
      <c r="M146" s="114">
        <f>IF(Inputs!$B$26="Yes",VLOOKUP(D146,VWR[#All],2,FALSE),1)</f>
        <v>1</v>
      </c>
      <c r="N146" s="114">
        <f>IF(Inputs!$B$27="Yes",VLOOKUP(D146,VVR[#All],2,FALSE),0)</f>
        <v>0</v>
      </c>
      <c r="O146" s="46">
        <f>(J25*Inputs!$B$18*Inputs!$B$41/$C$18)*M146</f>
        <v>0</v>
      </c>
      <c r="P146" s="46">
        <f t="shared" si="103"/>
        <v>0.23881298664393297</v>
      </c>
      <c r="Q146" s="46">
        <f t="shared" si="104"/>
        <v>0</v>
      </c>
      <c r="R146" s="46">
        <f t="shared" si="105"/>
        <v>0</v>
      </c>
      <c r="S146" s="103">
        <f t="shared" si="106"/>
        <v>0</v>
      </c>
      <c r="T146" s="46">
        <f t="shared" si="107"/>
        <v>0</v>
      </c>
      <c r="U146" s="46">
        <f t="shared" si="93"/>
        <v>0.23881298664393297</v>
      </c>
      <c r="V146" s="46">
        <f t="shared" si="108"/>
        <v>0</v>
      </c>
      <c r="W146" s="46">
        <f t="shared" si="94"/>
        <v>0</v>
      </c>
      <c r="X146" s="103">
        <f t="shared" si="95"/>
        <v>0</v>
      </c>
      <c r="Y146" s="46">
        <f>X146*Inputs!$B$8</f>
        <v>0</v>
      </c>
      <c r="Z146" s="170">
        <f t="shared" si="96"/>
        <v>220</v>
      </c>
      <c r="AA146" s="104">
        <f t="shared" si="97"/>
        <v>0</v>
      </c>
      <c r="AB146" s="104">
        <f t="shared" si="98"/>
        <v>0</v>
      </c>
      <c r="AC146" s="46">
        <f t="shared" si="99"/>
        <v>0.23881298664393297</v>
      </c>
      <c r="AD146" s="46">
        <f t="shared" si="109"/>
        <v>0</v>
      </c>
      <c r="AE146" s="46">
        <f t="shared" si="100"/>
        <v>0</v>
      </c>
      <c r="AF146" s="103">
        <f>IF(S146&gt;0,(((R146/O146)*S146)*Inputs!$B$12)+((Q146/O146)*S146)*Inputs!$B$23,0)</f>
        <v>0</v>
      </c>
      <c r="AG146" s="103">
        <f>IF(AA146&gt;0,(((W146/T146)*AA146)*Inputs!$B$12)+((V146/T146)*AA146)*Inputs!$B$23,0)</f>
        <v>0</v>
      </c>
      <c r="AH146" s="331">
        <f>IF(AB146&gt;0,((J146*Inputs!$B$18*Inputs!$B$41/$C$18)-O146),0)</f>
        <v>0</v>
      </c>
      <c r="AI146" s="331">
        <f>IFERROR(((R146/O146)*AH146)*((Inputs!$B$12)+(((Q146/O146)*AH146)*Inputs!$B$23)),0)</f>
        <v>0</v>
      </c>
      <c r="AJ146" s="255"/>
      <c r="AK146" s="255"/>
      <c r="AL146" s="255">
        <f>IF(O146&gt;0,((R146/O146)*(O146-O25)*Inputs!$B$12)+((Q146/O146)*(O146-O25)*Inputs!$B$23),0)</f>
        <v>0</v>
      </c>
      <c r="AM146" s="103">
        <f>(K25-K146)*Inputs!$B$12</f>
        <v>2.9408832054560997E-3</v>
      </c>
    </row>
    <row r="147" spans="2:39">
      <c r="B147" s="134">
        <v>0.125</v>
      </c>
      <c r="C147" s="125">
        <f>Profiles!E35</f>
        <v>255</v>
      </c>
      <c r="D147" s="126">
        <f>IF(C147&lt;Inputs!$B$7,Inputs!$B$6,C147)</f>
        <v>220</v>
      </c>
      <c r="E147" s="127">
        <f>IF(VLOOKUP(K26,Profiles!$B$58:$C$88,2,TRUE)&gt;0,VLOOKUP(K26,Profiles!$B$58:$C$88,2,TRUE),0)</f>
        <v>0.92</v>
      </c>
      <c r="F147" s="127">
        <f t="shared" si="101"/>
        <v>0.13725490196078433</v>
      </c>
      <c r="G147" s="127">
        <f>F147*Inputs!$B$11</f>
        <v>0.12490196078431375</v>
      </c>
      <c r="H147" s="127">
        <f t="shared" si="110"/>
        <v>4.8806479113384538E-2</v>
      </c>
      <c r="I147" s="45">
        <f>Profiles!I9</f>
        <v>0.01</v>
      </c>
      <c r="J147" s="45">
        <f>Profiles!F35</f>
        <v>0</v>
      </c>
      <c r="K147" s="46">
        <f>IF(AND(H147&gt;0,K26&lt;Inputs!$B$15),K26*(1-H147),K26)</f>
        <v>0.23881298664393297</v>
      </c>
      <c r="L147" s="46">
        <f t="shared" si="102"/>
        <v>0</v>
      </c>
      <c r="M147" s="114">
        <f>IF(Inputs!$B$26="Yes",VLOOKUP(D147,VWR[#All],2,FALSE),1)</f>
        <v>1</v>
      </c>
      <c r="N147" s="114">
        <f>IF(Inputs!$B$27="Yes",VLOOKUP(D147,VVR[#All],2,FALSE),0)</f>
        <v>0</v>
      </c>
      <c r="O147" s="46">
        <f>(J26*Inputs!$B$18*Inputs!$B$41/$C$18)*M147</f>
        <v>0</v>
      </c>
      <c r="P147" s="46">
        <f t="shared" si="103"/>
        <v>0.23881298664393297</v>
      </c>
      <c r="Q147" s="46">
        <f t="shared" si="104"/>
        <v>0</v>
      </c>
      <c r="R147" s="46">
        <f t="shared" si="105"/>
        <v>0</v>
      </c>
      <c r="S147" s="103">
        <f t="shared" si="106"/>
        <v>0</v>
      </c>
      <c r="T147" s="46">
        <f t="shared" si="107"/>
        <v>0</v>
      </c>
      <c r="U147" s="46">
        <f t="shared" si="93"/>
        <v>0.23881298664393297</v>
      </c>
      <c r="V147" s="46">
        <f t="shared" si="108"/>
        <v>0</v>
      </c>
      <c r="W147" s="46">
        <f t="shared" si="94"/>
        <v>0</v>
      </c>
      <c r="X147" s="103">
        <f t="shared" si="95"/>
        <v>0</v>
      </c>
      <c r="Y147" s="46">
        <f>X147*Inputs!$B$8</f>
        <v>0</v>
      </c>
      <c r="Z147" s="170">
        <f t="shared" si="96"/>
        <v>220</v>
      </c>
      <c r="AA147" s="104">
        <f t="shared" si="97"/>
        <v>0</v>
      </c>
      <c r="AB147" s="104">
        <f t="shared" si="98"/>
        <v>0</v>
      </c>
      <c r="AC147" s="46">
        <f t="shared" si="99"/>
        <v>0.23881298664393297</v>
      </c>
      <c r="AD147" s="46">
        <f t="shared" si="109"/>
        <v>0</v>
      </c>
      <c r="AE147" s="46">
        <f t="shared" si="100"/>
        <v>0</v>
      </c>
      <c r="AF147" s="103">
        <f>IF(S147&gt;0,(((R147/O147)*S147)*Inputs!$B$12)+((Q147/O147)*S147)*Inputs!$B$23,0)</f>
        <v>0</v>
      </c>
      <c r="AG147" s="103">
        <f>IF(AA147&gt;0,(((W147/T147)*AA147)*Inputs!$B$12)+((V147/T147)*AA147)*Inputs!$B$23,0)</f>
        <v>0</v>
      </c>
      <c r="AH147" s="331">
        <f>IF(AB147&gt;0,((J147*Inputs!$B$18*Inputs!$B$41/$C$18)-O147),0)</f>
        <v>0</v>
      </c>
      <c r="AI147" s="331">
        <f>IFERROR(((R147/O147)*AH147)*((Inputs!$B$12)+(((Q147/O147)*AH147)*Inputs!$B$23)),0)</f>
        <v>0</v>
      </c>
      <c r="AJ147" s="255"/>
      <c r="AK147" s="255"/>
      <c r="AL147" s="255">
        <f>IF(O147&gt;0,((R147/O147)*(O147-O26)*Inputs!$B$12)+((Q147/O147)*(O147-O26)*Inputs!$B$23),0)</f>
        <v>0</v>
      </c>
      <c r="AM147" s="103">
        <f>(K26-K147)*Inputs!$B$12</f>
        <v>2.9408832054560997E-3</v>
      </c>
    </row>
    <row r="148" spans="2:39">
      <c r="B148" s="134">
        <v>0.16666666666666699</v>
      </c>
      <c r="C148" s="125">
        <f>Profiles!E36</f>
        <v>255</v>
      </c>
      <c r="D148" s="126">
        <f>IF(C148&lt;Inputs!$B$7,Inputs!$B$6,C148)</f>
        <v>220</v>
      </c>
      <c r="E148" s="127">
        <f>IF(VLOOKUP(K27,Profiles!$B$58:$C$88,2,TRUE)&gt;0,VLOOKUP(K27,Profiles!$B$58:$C$88,2,TRUE),0)</f>
        <v>0.92</v>
      </c>
      <c r="F148" s="127">
        <f t="shared" si="101"/>
        <v>0.13725490196078433</v>
      </c>
      <c r="G148" s="127">
        <f>F148*Inputs!$B$11</f>
        <v>0.12490196078431375</v>
      </c>
      <c r="H148" s="127">
        <f t="shared" si="110"/>
        <v>4.8806479113384538E-2</v>
      </c>
      <c r="I148" s="45">
        <f>Profiles!I10</f>
        <v>0.01</v>
      </c>
      <c r="J148" s="45">
        <f>Profiles!F36</f>
        <v>0</v>
      </c>
      <c r="K148" s="46">
        <f>IF(AND(H148&gt;0,K27&lt;Inputs!$B$15),K27*(1-H148),K27)</f>
        <v>0.23881298664393297</v>
      </c>
      <c r="L148" s="46">
        <f t="shared" si="102"/>
        <v>0</v>
      </c>
      <c r="M148" s="114">
        <f>IF(Inputs!$B$26="Yes",VLOOKUP(D148,VWR[#All],2,FALSE),1)</f>
        <v>1</v>
      </c>
      <c r="N148" s="114">
        <f>IF(Inputs!$B$27="Yes",VLOOKUP(D148,VVR[#All],2,FALSE),0)</f>
        <v>0</v>
      </c>
      <c r="O148" s="46">
        <f>(J27*Inputs!$B$18*Inputs!$B$41/$C$18)*M148</f>
        <v>0</v>
      </c>
      <c r="P148" s="46">
        <f t="shared" si="103"/>
        <v>0.23881298664393297</v>
      </c>
      <c r="Q148" s="46">
        <f t="shared" si="104"/>
        <v>0</v>
      </c>
      <c r="R148" s="46">
        <f t="shared" si="105"/>
        <v>0</v>
      </c>
      <c r="S148" s="103">
        <f t="shared" si="106"/>
        <v>0</v>
      </c>
      <c r="T148" s="46">
        <f t="shared" si="107"/>
        <v>0</v>
      </c>
      <c r="U148" s="46">
        <f t="shared" si="93"/>
        <v>0.23881298664393297</v>
      </c>
      <c r="V148" s="46">
        <f t="shared" si="108"/>
        <v>0</v>
      </c>
      <c r="W148" s="46">
        <f t="shared" si="94"/>
        <v>0</v>
      </c>
      <c r="X148" s="103">
        <f t="shared" si="95"/>
        <v>0</v>
      </c>
      <c r="Y148" s="46">
        <f>X148*Inputs!$B$8</f>
        <v>0</v>
      </c>
      <c r="Z148" s="170">
        <f t="shared" si="96"/>
        <v>220</v>
      </c>
      <c r="AA148" s="104">
        <f t="shared" si="97"/>
        <v>0</v>
      </c>
      <c r="AB148" s="104">
        <f t="shared" si="98"/>
        <v>0</v>
      </c>
      <c r="AC148" s="46">
        <f t="shared" si="99"/>
        <v>0.23881298664393297</v>
      </c>
      <c r="AD148" s="46">
        <f t="shared" si="109"/>
        <v>0</v>
      </c>
      <c r="AE148" s="46">
        <f t="shared" si="100"/>
        <v>0</v>
      </c>
      <c r="AF148" s="103">
        <f>IF(S148&gt;0,(((R148/O148)*S148)*Inputs!$B$12)+((Q148/O148)*S148)*Inputs!$B$23,0)</f>
        <v>0</v>
      </c>
      <c r="AG148" s="103">
        <f>IF(AA148&gt;0,(((W148/T148)*AA148)*Inputs!$B$12)+((V148/T148)*AA148)*Inputs!$B$23,0)</f>
        <v>0</v>
      </c>
      <c r="AH148" s="331">
        <f>IF(AB148&gt;0,((J148*Inputs!$B$18*Inputs!$B$41/$C$18)-O148),0)</f>
        <v>0</v>
      </c>
      <c r="AI148" s="331">
        <f>IFERROR(((R148/O148)*AH148)*((Inputs!$B$12)+(((Q148/O148)*AH148)*Inputs!$B$23)),0)</f>
        <v>0</v>
      </c>
      <c r="AJ148" s="255"/>
      <c r="AK148" s="255"/>
      <c r="AL148" s="255">
        <f>IF(O148&gt;0,((R148/O148)*(O148-O27)*Inputs!$B$12)+((Q148/O148)*(O148-O27)*Inputs!$B$23),0)</f>
        <v>0</v>
      </c>
      <c r="AM148" s="103">
        <f>(K27-K148)*Inputs!$B$12</f>
        <v>2.9408832054560997E-3</v>
      </c>
    </row>
    <row r="149" spans="2:39">
      <c r="B149" s="134">
        <v>0.20833333333333301</v>
      </c>
      <c r="C149" s="125">
        <f>Profiles!E37</f>
        <v>253</v>
      </c>
      <c r="D149" s="126">
        <f>IF(C149&lt;Inputs!$B$7,Inputs!$B$6,C149)</f>
        <v>220</v>
      </c>
      <c r="E149" s="127">
        <f>IF(VLOOKUP(K28,Profiles!$B$58:$C$88,2,TRUE)&gt;0,VLOOKUP(K28,Profiles!$B$58:$C$88,2,TRUE),0)</f>
        <v>0.92</v>
      </c>
      <c r="F149" s="127">
        <f t="shared" si="101"/>
        <v>0.13043478260869565</v>
      </c>
      <c r="G149" s="127">
        <f>F149*Inputs!$B$11</f>
        <v>0.11869565217391305</v>
      </c>
      <c r="H149" s="127">
        <f t="shared" si="110"/>
        <v>4.2060491493383867E-2</v>
      </c>
      <c r="I149" s="45">
        <f>Profiles!I11</f>
        <v>0.01</v>
      </c>
      <c r="J149" s="45">
        <f>Profiles!F37</f>
        <v>0</v>
      </c>
      <c r="K149" s="46">
        <f>IF(AND(H149&gt;0,K28&lt;Inputs!$B$15),K28*(1-H149),K28)</f>
        <v>0.24050667926906114</v>
      </c>
      <c r="L149" s="46">
        <f t="shared" si="102"/>
        <v>0</v>
      </c>
      <c r="M149" s="114">
        <f>IF(Inputs!$B$26="Yes",VLOOKUP(D149,VWR[#All],2,FALSE),1)</f>
        <v>1</v>
      </c>
      <c r="N149" s="114">
        <f>IF(Inputs!$B$27="Yes",VLOOKUP(D149,VVR[#All],2,FALSE),0)</f>
        <v>0</v>
      </c>
      <c r="O149" s="46">
        <f>(J28*Inputs!$B$18*Inputs!$B$41/$C$18)*M149</f>
        <v>0</v>
      </c>
      <c r="P149" s="46">
        <f t="shared" si="103"/>
        <v>0.24050667926906114</v>
      </c>
      <c r="Q149" s="46">
        <f t="shared" si="104"/>
        <v>0</v>
      </c>
      <c r="R149" s="46">
        <f t="shared" si="105"/>
        <v>0</v>
      </c>
      <c r="S149" s="103">
        <f t="shared" si="106"/>
        <v>0</v>
      </c>
      <c r="T149" s="46">
        <f t="shared" si="107"/>
        <v>0</v>
      </c>
      <c r="U149" s="46">
        <f t="shared" si="93"/>
        <v>0.24050667926906114</v>
      </c>
      <c r="V149" s="46">
        <f t="shared" si="108"/>
        <v>0</v>
      </c>
      <c r="W149" s="46">
        <f t="shared" si="94"/>
        <v>0</v>
      </c>
      <c r="X149" s="103">
        <f t="shared" si="95"/>
        <v>0</v>
      </c>
      <c r="Y149" s="46">
        <f>X149*Inputs!$B$8</f>
        <v>0</v>
      </c>
      <c r="Z149" s="170">
        <f t="shared" si="96"/>
        <v>220</v>
      </c>
      <c r="AA149" s="104">
        <f t="shared" si="97"/>
        <v>0</v>
      </c>
      <c r="AB149" s="104">
        <f t="shared" si="98"/>
        <v>0</v>
      </c>
      <c r="AC149" s="46">
        <f t="shared" si="99"/>
        <v>0.24050667926906114</v>
      </c>
      <c r="AD149" s="46">
        <f t="shared" si="109"/>
        <v>0</v>
      </c>
      <c r="AE149" s="46">
        <f t="shared" si="100"/>
        <v>0</v>
      </c>
      <c r="AF149" s="103">
        <f>IF(S149&gt;0,(((R149/O149)*S149)*Inputs!$B$12)+((Q149/O149)*S149)*Inputs!$B$23,0)</f>
        <v>0</v>
      </c>
      <c r="AG149" s="103">
        <f>IF(AA149&gt;0,(((W149/T149)*AA149)*Inputs!$B$12)+((V149/T149)*AA149)*Inputs!$B$23,0)</f>
        <v>0</v>
      </c>
      <c r="AH149" s="331">
        <f>IF(AB149&gt;0,((J149*Inputs!$B$18*Inputs!$B$41/$C$18)-O149),0)</f>
        <v>0</v>
      </c>
      <c r="AI149" s="331">
        <f>IFERROR(((R149/O149)*AH149)*((Inputs!$B$12)+(((Q149/O149)*AH149)*Inputs!$B$23)),0)</f>
        <v>0</v>
      </c>
      <c r="AJ149" s="255"/>
      <c r="AK149" s="255"/>
      <c r="AL149" s="255">
        <f>IF(O149&gt;0,((R149/O149)*(O149-O28)*Inputs!$B$12)+((Q149/O149)*(O149-O28)*Inputs!$B$23),0)</f>
        <v>0</v>
      </c>
      <c r="AM149" s="103">
        <f>(K28-K149)*Inputs!$B$12</f>
        <v>2.534396975425339E-3</v>
      </c>
    </row>
    <row r="150" spans="2:39">
      <c r="B150" s="134">
        <v>0.25</v>
      </c>
      <c r="C150" s="125">
        <f>Profiles!E38</f>
        <v>254</v>
      </c>
      <c r="D150" s="126">
        <f>IF(C150&lt;Inputs!$B$7,Inputs!$B$6,C150)</f>
        <v>220</v>
      </c>
      <c r="E150" s="127">
        <f>IF(VLOOKUP(K29,Profiles!$B$58:$C$88,2,TRUE)&gt;0,VLOOKUP(K29,Profiles!$B$58:$C$88,2,TRUE),0)</f>
        <v>0.98</v>
      </c>
      <c r="F150" s="127">
        <f t="shared" si="101"/>
        <v>0.13385826771653545</v>
      </c>
      <c r="G150" s="127">
        <f>F150*Inputs!$B$11</f>
        <v>0.12181102362204727</v>
      </c>
      <c r="H150" s="127">
        <f t="shared" si="110"/>
        <v>0.10388879961433395</v>
      </c>
      <c r="I150" s="45">
        <f>Profiles!I12</f>
        <v>0.1</v>
      </c>
      <c r="J150" s="45">
        <f>Profiles!F38</f>
        <v>0</v>
      </c>
      <c r="K150" s="46">
        <f>IF(AND(H150&gt;0,K29&lt;Inputs!$B$15),K29*(1-H150),K29)</f>
        <v>2.249836520434946</v>
      </c>
      <c r="L150" s="46">
        <f t="shared" si="102"/>
        <v>0</v>
      </c>
      <c r="M150" s="114">
        <f>IF(Inputs!$B$26="Yes",VLOOKUP(D150,VWR[#All],2,FALSE),1)</f>
        <v>1</v>
      </c>
      <c r="N150" s="114">
        <f>IF(Inputs!$B$27="Yes",VLOOKUP(D150,VVR[#All],2,FALSE),0)</f>
        <v>0</v>
      </c>
      <c r="O150" s="46">
        <f>(J29*Inputs!$B$18*Inputs!$B$41/$C$18)*M150</f>
        <v>0</v>
      </c>
      <c r="P150" s="46">
        <f t="shared" si="103"/>
        <v>2.249836520434946</v>
      </c>
      <c r="Q150" s="46">
        <f t="shared" si="104"/>
        <v>0</v>
      </c>
      <c r="R150" s="46">
        <f t="shared" si="105"/>
        <v>0</v>
      </c>
      <c r="S150" s="103">
        <f t="shared" si="106"/>
        <v>0</v>
      </c>
      <c r="T150" s="46">
        <f t="shared" si="107"/>
        <v>0</v>
      </c>
      <c r="U150" s="46">
        <f t="shared" si="93"/>
        <v>2.249836520434946</v>
      </c>
      <c r="V150" s="46">
        <f t="shared" si="108"/>
        <v>0</v>
      </c>
      <c r="W150" s="46">
        <f t="shared" si="94"/>
        <v>0</v>
      </c>
      <c r="X150" s="103">
        <f t="shared" si="95"/>
        <v>0</v>
      </c>
      <c r="Y150" s="46">
        <f>X150*Inputs!$B$8</f>
        <v>0</v>
      </c>
      <c r="Z150" s="170">
        <f t="shared" si="96"/>
        <v>220</v>
      </c>
      <c r="AA150" s="104">
        <f t="shared" si="97"/>
        <v>0</v>
      </c>
      <c r="AB150" s="104">
        <f t="shared" si="98"/>
        <v>0</v>
      </c>
      <c r="AC150" s="46">
        <f t="shared" si="99"/>
        <v>2.249836520434946</v>
      </c>
      <c r="AD150" s="46">
        <f t="shared" si="109"/>
        <v>0</v>
      </c>
      <c r="AE150" s="46">
        <f t="shared" si="100"/>
        <v>0</v>
      </c>
      <c r="AF150" s="103">
        <f>IF(S150&gt;0,(((R150/O150)*S150)*Inputs!$B$12)+((Q150/O150)*S150)*Inputs!$B$23,0)</f>
        <v>0</v>
      </c>
      <c r="AG150" s="103">
        <f>IF(AA150&gt;0,(((W150/T150)*AA150)*Inputs!$B$12)+((V150/T150)*AA150)*Inputs!$B$23,0)</f>
        <v>0</v>
      </c>
      <c r="AH150" s="331">
        <f>IF(AB150&gt;0,((J150*Inputs!$B$18*Inputs!$B$41/$C$18)-O150),0)</f>
        <v>0</v>
      </c>
      <c r="AI150" s="331">
        <f>IFERROR(((R150/O150)*AH150)*((Inputs!$B$12)+(((Q150/O150)*AH150)*Inputs!$B$23)),0)</f>
        <v>0</v>
      </c>
      <c r="AJ150" s="255"/>
      <c r="AK150" s="255"/>
      <c r="AL150" s="255">
        <f>IF(O150&gt;0,((R150/O150)*(O150-O29)*Inputs!$B$12)+((Q150/O150)*(O150-O29)*Inputs!$B$23),0)</f>
        <v>0</v>
      </c>
      <c r="AM150" s="103">
        <f>(K29-K150)*Inputs!$B$12</f>
        <v>6.2599235095613104E-2</v>
      </c>
    </row>
    <row r="151" spans="2:39">
      <c r="B151" s="134">
        <v>0.29166666666666702</v>
      </c>
      <c r="C151" s="125">
        <f>Profiles!E39</f>
        <v>255</v>
      </c>
      <c r="D151" s="126">
        <f>IF(C151&lt;Inputs!$B$7,Inputs!$B$6,C151)</f>
        <v>220</v>
      </c>
      <c r="E151" s="127">
        <f>IF(VLOOKUP(K30,Profiles!$B$58:$C$88,2,TRUE)&gt;0,VLOOKUP(K30,Profiles!$B$58:$C$88,2,TRUE),0)</f>
        <v>0.98</v>
      </c>
      <c r="F151" s="127">
        <f t="shared" si="101"/>
        <v>0.13725490196078433</v>
      </c>
      <c r="G151" s="127">
        <f>F151*Inputs!$B$11</f>
        <v>0.12490196078431375</v>
      </c>
      <c r="H151" s="127">
        <f>IFERROR(((G151-1)/E151+1),0)</f>
        <v>0.10704281712685071</v>
      </c>
      <c r="I151" s="45">
        <f>Profiles!I13</f>
        <v>0.12</v>
      </c>
      <c r="J151" s="45">
        <f>Profiles!F39</f>
        <v>0.02</v>
      </c>
      <c r="K151" s="46">
        <f>IF(AND(H151&gt;0,K30&lt;Inputs!$B$15),K30*(1-H151),K30)</f>
        <v>2.6903014005602244</v>
      </c>
      <c r="L151" s="46">
        <f t="shared" si="102"/>
        <v>0</v>
      </c>
      <c r="M151" s="114">
        <f>IF(Inputs!$B$26="Yes",VLOOKUP(D151,VWR[#All],2,FALSE),1)</f>
        <v>1</v>
      </c>
      <c r="N151" s="114">
        <f>IF(Inputs!$B$27="Yes",VLOOKUP(D151,VVR[#All],2,FALSE),0)</f>
        <v>0</v>
      </c>
      <c r="O151" s="46">
        <f>(J30*Inputs!$B$18*Inputs!$B$41/$C$18)*M151</f>
        <v>0.67238619094813346</v>
      </c>
      <c r="P151" s="46">
        <f t="shared" si="103"/>
        <v>2.0179152096120907</v>
      </c>
      <c r="Q151" s="46">
        <f t="shared" si="104"/>
        <v>0</v>
      </c>
      <c r="R151" s="46">
        <f t="shared" si="105"/>
        <v>0.67238619094813346</v>
      </c>
      <c r="S151" s="103">
        <f t="shared" si="106"/>
        <v>0</v>
      </c>
      <c r="T151" s="46">
        <f t="shared" si="107"/>
        <v>0.67238619094813346</v>
      </c>
      <c r="U151" s="46">
        <f t="shared" si="93"/>
        <v>2.0179152096120907</v>
      </c>
      <c r="V151" s="46">
        <f t="shared" si="108"/>
        <v>0</v>
      </c>
      <c r="W151" s="46">
        <f t="shared" si="94"/>
        <v>0.67238619094813346</v>
      </c>
      <c r="X151" s="103">
        <f t="shared" si="95"/>
        <v>0</v>
      </c>
      <c r="Y151" s="46">
        <f>X151*Inputs!$B$8</f>
        <v>0</v>
      </c>
      <c r="Z151" s="170">
        <f t="shared" si="96"/>
        <v>220</v>
      </c>
      <c r="AA151" s="104">
        <f t="shared" si="97"/>
        <v>0</v>
      </c>
      <c r="AB151" s="104">
        <f t="shared" si="98"/>
        <v>0.67238619094813346</v>
      </c>
      <c r="AC151" s="46">
        <f t="shared" si="99"/>
        <v>2.0179152096120907</v>
      </c>
      <c r="AD151" s="46">
        <f t="shared" si="109"/>
        <v>0</v>
      </c>
      <c r="AE151" s="46">
        <f t="shared" si="100"/>
        <v>0.67238619094813346</v>
      </c>
      <c r="AF151" s="103">
        <f>IF(S151&gt;0,(((R151/O151)*S151)*Inputs!$B$12)+((Q151/O151)*S151)*Inputs!$B$23,0)</f>
        <v>0</v>
      </c>
      <c r="AG151" s="103">
        <f>IF(AA151&gt;0,(((W151/T151)*AA151)*Inputs!$B$12)+((V151/T151)*AA151)*Inputs!$B$23,0)</f>
        <v>0</v>
      </c>
      <c r="AH151" s="331">
        <f>IF(AB151&gt;0,((J151*Inputs!$B$18*Inputs!$B$41/$C$18)-O151),0)</f>
        <v>0</v>
      </c>
      <c r="AI151" s="331">
        <f>IFERROR(((R151/O151)*AH151)*((Inputs!$B$12)+(((Q151/O151)*AH151)*Inputs!$B$23)),0)</f>
        <v>0</v>
      </c>
      <c r="AJ151" s="255"/>
      <c r="AK151" s="255"/>
      <c r="AL151" s="255">
        <f>IF(O151&gt;0,((R151/O151)*(O151-O30)*Inputs!$B$12)+((Q151/O151)*(O151-O30)*Inputs!$B$23),0)</f>
        <v>5.4866713181367675E-2</v>
      </c>
      <c r="AM151" s="103">
        <f>(K30-K151)*Inputs!$B$12</f>
        <v>7.7399663865546239E-2</v>
      </c>
    </row>
    <row r="152" spans="2:39">
      <c r="B152" s="134">
        <v>0.33333333333333298</v>
      </c>
      <c r="C152" s="125">
        <f>Profiles!E40</f>
        <v>255</v>
      </c>
      <c r="D152" s="126">
        <f>IF(C152&lt;Inputs!$B$7,Inputs!$B$6,C152)</f>
        <v>220</v>
      </c>
      <c r="E152" s="127">
        <f>IF(VLOOKUP(K31,Profiles!$B$58:$C$88,2,TRUE)&gt;0,VLOOKUP(K31,Profiles!$B$58:$C$88,2,TRUE),0)</f>
        <v>0.97</v>
      </c>
      <c r="F152" s="127">
        <f t="shared" si="101"/>
        <v>0.13725490196078433</v>
      </c>
      <c r="G152" s="127">
        <f>F152*Inputs!$B$11</f>
        <v>0.12490196078431375</v>
      </c>
      <c r="H152" s="127">
        <f t="shared" si="110"/>
        <v>9.783707297351929E-2</v>
      </c>
      <c r="I152" s="45">
        <f>Profiles!I14</f>
        <v>0.03</v>
      </c>
      <c r="J152" s="45">
        <f>Profiles!F40</f>
        <v>4.4999999999999998E-2</v>
      </c>
      <c r="K152" s="46">
        <f>IF(AND(H152&gt;0,K31&lt;Inputs!$B$15),K31*(1-H152),K31)</f>
        <v>0.67950911663634539</v>
      </c>
      <c r="L152" s="46">
        <f t="shared" si="102"/>
        <v>0</v>
      </c>
      <c r="M152" s="114">
        <f>IF(Inputs!$B$26="Yes",VLOOKUP(D152,VWR[#All],2,FALSE),1)</f>
        <v>1</v>
      </c>
      <c r="N152" s="114">
        <f>IF(Inputs!$B$27="Yes",VLOOKUP(D152,VVR[#All],2,FALSE),0)</f>
        <v>0</v>
      </c>
      <c r="O152" s="46">
        <f>(J31*Inputs!$B$18*Inputs!$B$41/$C$18)*M152</f>
        <v>1.5128689296333</v>
      </c>
      <c r="P152" s="46">
        <f t="shared" si="103"/>
        <v>0</v>
      </c>
      <c r="Q152" s="46">
        <f t="shared" si="104"/>
        <v>0.83335981299695461</v>
      </c>
      <c r="R152" s="46">
        <f t="shared" si="105"/>
        <v>0.67950911663634539</v>
      </c>
      <c r="S152" s="103">
        <f>IF(D152&gt;255,O152,0)</f>
        <v>0</v>
      </c>
      <c r="T152" s="46">
        <f t="shared" si="107"/>
        <v>1.5128689296333</v>
      </c>
      <c r="U152" s="46">
        <f t="shared" si="93"/>
        <v>0</v>
      </c>
      <c r="V152" s="46">
        <f t="shared" si="108"/>
        <v>0.83335981299695461</v>
      </c>
      <c r="W152" s="46">
        <f t="shared" si="94"/>
        <v>0.67950911663634539</v>
      </c>
      <c r="X152" s="103">
        <f t="shared" si="95"/>
        <v>3.2680776980272728</v>
      </c>
      <c r="Y152" s="46">
        <f>X152*Inputs!$B$8</f>
        <v>1.2418695252503638</v>
      </c>
      <c r="Z152" s="170">
        <f t="shared" si="96"/>
        <v>221.24186952525037</v>
      </c>
      <c r="AA152" s="104">
        <f t="shared" si="97"/>
        <v>0</v>
      </c>
      <c r="AB152" s="104">
        <f t="shared" si="98"/>
        <v>1.5128689296333</v>
      </c>
      <c r="AC152" s="46">
        <f t="shared" si="99"/>
        <v>0</v>
      </c>
      <c r="AD152" s="46">
        <f>IF(AB152&gt;K152,MIN((AB152-K152),5),0)</f>
        <v>0.83335981299695461</v>
      </c>
      <c r="AE152" s="46">
        <f t="shared" si="100"/>
        <v>0.67950911663634539</v>
      </c>
      <c r="AF152" s="103">
        <f>IF(S152&gt;0,(((R152/O152)*S152)*Inputs!$B$12)+((Q152/O152)*S152)*Inputs!$B$23,0)</f>
        <v>0</v>
      </c>
      <c r="AG152" s="103">
        <f>IF(AA152&gt;0,(((W152/T152)*AA152)*Inputs!$B$12)+((V152/T152)*AA152)*Inputs!$B$23,0)</f>
        <v>0</v>
      </c>
      <c r="AH152" s="331">
        <f>IF(AB152&gt;0,((J152*Inputs!$B$18*Inputs!$B$41/$C$18)-O152),0)</f>
        <v>0</v>
      </c>
      <c r="AI152" s="331">
        <f>IFERROR(((R152/O152)*AH152)*((Inputs!$B$12)+(((Q152/O152)*AH152)*Inputs!$B$23)),0)</f>
        <v>0</v>
      </c>
      <c r="AJ152" s="255"/>
      <c r="AK152" s="255"/>
      <c r="AL152" s="255">
        <f>IF(O152&gt;0,((R152/O152)*(O152-O31)*Inputs!$B$12)+((Q152/O152)*(O152-O31)*Inputs!$B$23),0)</f>
        <v>8.9449024287801507E-2</v>
      </c>
      <c r="AM152" s="103">
        <f>(K31-K152)*Inputs!$B$12</f>
        <v>1.7685812007277129E-2</v>
      </c>
    </row>
    <row r="153" spans="2:39">
      <c r="B153" s="134">
        <v>0.375</v>
      </c>
      <c r="C153" s="125">
        <f>Profiles!E41</f>
        <v>253</v>
      </c>
      <c r="D153" s="126">
        <f>IF(C153&lt;Inputs!$B$7,Inputs!$B$6,C153)</f>
        <v>220</v>
      </c>
      <c r="E153" s="127">
        <f>IF(VLOOKUP(K32,Profiles!$B$58:$C$88,2,TRUE)&gt;0,VLOOKUP(K32,Profiles!$B$58:$C$88,2,TRUE),0)</f>
        <v>0.96</v>
      </c>
      <c r="F153" s="127">
        <f t="shared" si="101"/>
        <v>0.13043478260869565</v>
      </c>
      <c r="G153" s="127">
        <f>F153*Inputs!$B$11</f>
        <v>0.11869565217391305</v>
      </c>
      <c r="H153" s="127">
        <f t="shared" si="110"/>
        <v>8.1974637681159424E-2</v>
      </c>
      <c r="I153" s="45">
        <f>Profiles!I15</f>
        <v>0.02</v>
      </c>
      <c r="J153" s="45">
        <f>Profiles!F41</f>
        <v>0.08</v>
      </c>
      <c r="K153" s="46">
        <f>IF(AND(H153&gt;0,K32&lt;Inputs!$B$15),K32*(1-H153),K32)</f>
        <v>0.46097113526570055</v>
      </c>
      <c r="L153" s="46">
        <f t="shared" si="102"/>
        <v>0</v>
      </c>
      <c r="M153" s="114">
        <f>IF(Inputs!$B$26="Yes",VLOOKUP(D153,VWR[#All],2,FALSE),1)</f>
        <v>1</v>
      </c>
      <c r="N153" s="114">
        <f>IF(Inputs!$B$27="Yes",VLOOKUP(D153,VVR[#All],2,FALSE),0)</f>
        <v>0</v>
      </c>
      <c r="O153" s="46">
        <f>(J32*Inputs!$B$18*Inputs!$B$41/$C$18)*M153</f>
        <v>2.6895447637925338</v>
      </c>
      <c r="P153" s="46">
        <f t="shared" si="103"/>
        <v>0</v>
      </c>
      <c r="Q153" s="46">
        <f t="shared" si="104"/>
        <v>2.2285736285268332</v>
      </c>
      <c r="R153" s="46">
        <f t="shared" si="105"/>
        <v>0.46097113526570055</v>
      </c>
      <c r="S153" s="103">
        <f t="shared" si="106"/>
        <v>0</v>
      </c>
      <c r="T153" s="46">
        <f t="shared" si="107"/>
        <v>2.6895447637925338</v>
      </c>
      <c r="U153" s="46">
        <f t="shared" si="93"/>
        <v>0</v>
      </c>
      <c r="V153" s="46">
        <f t="shared" si="108"/>
        <v>2.2285736285268332</v>
      </c>
      <c r="W153" s="46">
        <f t="shared" si="94"/>
        <v>0.46097113526570055</v>
      </c>
      <c r="X153" s="103">
        <f t="shared" si="95"/>
        <v>8.8085914171021074</v>
      </c>
      <c r="Y153" s="46">
        <f>X153*Inputs!$B$8</f>
        <v>3.3472647384988008</v>
      </c>
      <c r="Z153" s="170">
        <f t="shared" si="96"/>
        <v>223.34726473849881</v>
      </c>
      <c r="AA153" s="104">
        <f t="shared" si="97"/>
        <v>0</v>
      </c>
      <c r="AB153" s="104">
        <f t="shared" si="98"/>
        <v>2.6895447637925338</v>
      </c>
      <c r="AC153" s="46">
        <f t="shared" si="99"/>
        <v>0</v>
      </c>
      <c r="AD153" s="46">
        <f t="shared" si="109"/>
        <v>2.2285736285268332</v>
      </c>
      <c r="AE153" s="46">
        <f t="shared" si="100"/>
        <v>0.46097113526570055</v>
      </c>
      <c r="AF153" s="103">
        <f>IF(S153&gt;0,(((R153/O153)*S153)*Inputs!$B$12)+((Q153/O153)*S153)*Inputs!$B$23,0)</f>
        <v>0</v>
      </c>
      <c r="AG153" s="103">
        <f>IF(AA153&gt;0,(((W153/T153)*AA153)*Inputs!$B$12)+((V153/T153)*AA153)*Inputs!$B$23,0)</f>
        <v>0</v>
      </c>
      <c r="AH153" s="331">
        <f>IF(AB153&gt;0,((J153*Inputs!$B$18*Inputs!$B$41/$C$18)-O153),0)</f>
        <v>0</v>
      </c>
      <c r="AI153" s="331">
        <f>IFERROR(((R153/O153)*AH153)*((Inputs!$B$12)+(((Q153/O153)*AH153)*Inputs!$B$23)),0)</f>
        <v>0</v>
      </c>
      <c r="AJ153" s="255"/>
      <c r="AK153" s="255"/>
      <c r="AL153" s="255">
        <f>IF(O153&gt;0,((R153/O153)*(O153-O32)*Inputs!$B$12)+((Q153/O153)*(O153-O32)*Inputs!$B$23),0)</f>
        <v>7.9544225419422326E-2</v>
      </c>
      <c r="AM153" s="103">
        <f>(K32-K153)*Inputs!$B$12</f>
        <v>9.8789275362318914E-3</v>
      </c>
    </row>
    <row r="154" spans="2:39">
      <c r="B154" s="134">
        <v>0.41666666666666702</v>
      </c>
      <c r="C154" s="125">
        <f>Profiles!E42</f>
        <v>256</v>
      </c>
      <c r="D154" s="126">
        <f>IF(C154&lt;Inputs!$B$7,Inputs!$B$6,C154)</f>
        <v>220</v>
      </c>
      <c r="E154" s="127">
        <f>IF(VLOOKUP(K33,Profiles!$B$58:$C$88,2,TRUE)&gt;0,VLOOKUP(K33,Profiles!$B$58:$C$88,2,TRUE),0)</f>
        <v>0.96</v>
      </c>
      <c r="F154" s="127">
        <f t="shared" si="101"/>
        <v>0.140625</v>
      </c>
      <c r="G154" s="127">
        <f>F154*Inputs!$B$11</f>
        <v>0.12796874999999999</v>
      </c>
      <c r="H154" s="127">
        <f t="shared" si="110"/>
        <v>9.1634114583333259E-2</v>
      </c>
      <c r="I154" s="45">
        <f>Profiles!I16</f>
        <v>0.02</v>
      </c>
      <c r="J154" s="45">
        <f>Profiles!F42</f>
        <v>0.11</v>
      </c>
      <c r="K154" s="46">
        <f>IF(AND(H154&gt;0,K33&lt;Inputs!$B$15),K33*(1-H154),K33)</f>
        <v>0.45612078993055566</v>
      </c>
      <c r="L154" s="46">
        <f t="shared" si="102"/>
        <v>0</v>
      </c>
      <c r="M154" s="114">
        <f>IF(Inputs!$B$26="Yes",VLOOKUP(D154,VWR[#All],2,FALSE),1)</f>
        <v>1</v>
      </c>
      <c r="N154" s="114">
        <f>IF(Inputs!$B$27="Yes",VLOOKUP(D154,VVR[#All],2,FALSE),0)</f>
        <v>0</v>
      </c>
      <c r="O154" s="46">
        <f>(J33*Inputs!$B$18*Inputs!$B$41/$C$18)*M154</f>
        <v>3.6981240502147341</v>
      </c>
      <c r="P154" s="46">
        <f t="shared" si="103"/>
        <v>0</v>
      </c>
      <c r="Q154" s="46">
        <f t="shared" si="104"/>
        <v>3.2420032602841786</v>
      </c>
      <c r="R154" s="46">
        <f t="shared" si="105"/>
        <v>0.45612078993055566</v>
      </c>
      <c r="S154" s="103">
        <f t="shared" si="106"/>
        <v>0</v>
      </c>
      <c r="T154" s="46">
        <f t="shared" si="107"/>
        <v>3.6981240502147341</v>
      </c>
      <c r="U154" s="46">
        <f t="shared" si="93"/>
        <v>0</v>
      </c>
      <c r="V154" s="46">
        <f t="shared" si="108"/>
        <v>3.2420032602841786</v>
      </c>
      <c r="W154" s="46">
        <f t="shared" si="94"/>
        <v>0.45612078993055566</v>
      </c>
      <c r="X154" s="103">
        <f t="shared" si="95"/>
        <v>12.664075235485072</v>
      </c>
      <c r="Y154" s="46">
        <f>X154*Inputs!$B$8</f>
        <v>4.8123485894843272</v>
      </c>
      <c r="Z154" s="170">
        <f t="shared" si="96"/>
        <v>224.81234858948432</v>
      </c>
      <c r="AA154" s="104">
        <f t="shared" si="97"/>
        <v>0</v>
      </c>
      <c r="AB154" s="104">
        <f t="shared" si="98"/>
        <v>3.6981240502147341</v>
      </c>
      <c r="AC154" s="46">
        <f t="shared" si="99"/>
        <v>0</v>
      </c>
      <c r="AD154" s="46">
        <f>IF(AB154&gt;K154,MIN((AB154-K154),5),0)</f>
        <v>3.2420032602841786</v>
      </c>
      <c r="AE154" s="46">
        <f t="shared" si="100"/>
        <v>0.45612078993055566</v>
      </c>
      <c r="AF154" s="103">
        <f>IF(S154&gt;0,(((R154/O154)*S154)*Inputs!$B$12)+((Q154/O154)*S154)*Inputs!$B$23,0)</f>
        <v>0</v>
      </c>
      <c r="AG154" s="103">
        <f>IF(AA154&gt;0,(((W154/T154)*AA154)*Inputs!$B$12)+((V154/T154)*AA154)*Inputs!$B$23,0)</f>
        <v>0</v>
      </c>
      <c r="AH154" s="331">
        <f>IF(AB154&gt;0,((J154*Inputs!$B$18*Inputs!$B$41/$C$18)-O154),0)</f>
        <v>0</v>
      </c>
      <c r="AI154" s="331">
        <f>IFERROR(((R154/O154)*AH154)*((Inputs!$B$12)+(((Q154/O154)*AH154)*Inputs!$B$23)),0)</f>
        <v>0</v>
      </c>
      <c r="AJ154" s="255"/>
      <c r="AK154" s="255"/>
      <c r="AL154" s="255">
        <f>IF(O154&gt;0,((R154/O154)*(O154-O33)*Inputs!$B$12)+((Q154/O154)*(O154-O33)*Inputs!$B$23),0)</f>
        <v>0.20020136733628183</v>
      </c>
      <c r="AM154" s="103">
        <f>(K33-K154)*Inputs!$B$12</f>
        <v>1.1043010416666665E-2</v>
      </c>
    </row>
    <row r="155" spans="2:39">
      <c r="B155" s="134">
        <v>0.45833333333333298</v>
      </c>
      <c r="C155" s="125">
        <f>Profiles!E43</f>
        <v>257</v>
      </c>
      <c r="D155" s="126">
        <f>IF(C155&lt;Inputs!$B$7,Inputs!$B$6,C155)</f>
        <v>220</v>
      </c>
      <c r="E155" s="127">
        <f>IF(VLOOKUP(K34,Profiles!$B$58:$C$88,2,TRUE)&gt;0,VLOOKUP(K34,Profiles!$B$58:$C$88,2,TRUE),0)</f>
        <v>0.96</v>
      </c>
      <c r="F155" s="127">
        <f t="shared" si="101"/>
        <v>0.14396887159533073</v>
      </c>
      <c r="G155" s="127">
        <f>F155*Inputs!$B$11</f>
        <v>0.13101167315175097</v>
      </c>
      <c r="H155" s="127">
        <f t="shared" si="110"/>
        <v>9.4803826199740593E-2</v>
      </c>
      <c r="I155" s="45">
        <f>Profiles!I17</f>
        <v>0.02</v>
      </c>
      <c r="J155" s="45">
        <f>Profiles!F43</f>
        <v>0.12</v>
      </c>
      <c r="K155" s="46">
        <f>IF(AND(H155&gt;0,K34&lt;Inputs!$B$15),K34*(1-H155),K34)</f>
        <v>0.45452917207090365</v>
      </c>
      <c r="L155" s="46">
        <f t="shared" si="102"/>
        <v>0</v>
      </c>
      <c r="M155" s="114">
        <f>IF(Inputs!$B$26="Yes",VLOOKUP(D155,VWR[#All],2,FALSE),1)</f>
        <v>1</v>
      </c>
      <c r="N155" s="114">
        <f>IF(Inputs!$B$27="Yes",VLOOKUP(D155,VVR[#All],2,FALSE),0)</f>
        <v>0</v>
      </c>
      <c r="O155" s="46">
        <f>(J34*Inputs!$B$18*Inputs!$B$41/$C$18)*M155</f>
        <v>4.0343171456888012</v>
      </c>
      <c r="P155" s="46">
        <f t="shared" si="103"/>
        <v>0</v>
      </c>
      <c r="Q155" s="46">
        <f t="shared" si="104"/>
        <v>3.5797879736178975</v>
      </c>
      <c r="R155" s="46">
        <f t="shared" si="105"/>
        <v>0.45452917207090365</v>
      </c>
      <c r="S155" s="103">
        <f t="shared" si="106"/>
        <v>0</v>
      </c>
      <c r="T155" s="46">
        <f t="shared" si="107"/>
        <v>4.0343171456888012</v>
      </c>
      <c r="U155" s="46">
        <f t="shared" si="93"/>
        <v>0</v>
      </c>
      <c r="V155" s="46">
        <f t="shared" si="108"/>
        <v>3.5797879736178975</v>
      </c>
      <c r="W155" s="46">
        <f t="shared" si="94"/>
        <v>0.45452917207090365</v>
      </c>
      <c r="X155" s="103">
        <f t="shared" si="95"/>
        <v>13.929136084116333</v>
      </c>
      <c r="Y155" s="46">
        <f>X155*Inputs!$B$8</f>
        <v>5.293071711964207</v>
      </c>
      <c r="Z155" s="170">
        <f t="shared" si="96"/>
        <v>225.29307171196422</v>
      </c>
      <c r="AA155" s="104">
        <f t="shared" si="97"/>
        <v>0</v>
      </c>
      <c r="AB155" s="104">
        <f t="shared" si="98"/>
        <v>4.0343171456888012</v>
      </c>
      <c r="AC155" s="46">
        <f t="shared" si="99"/>
        <v>0</v>
      </c>
      <c r="AD155" s="46">
        <f t="shared" si="109"/>
        <v>3.5797879736178975</v>
      </c>
      <c r="AE155" s="46">
        <f t="shared" si="100"/>
        <v>0.45452917207090365</v>
      </c>
      <c r="AF155" s="103">
        <f>IF(S155&gt;0,(((R155/O155)*S155)*Inputs!$B$12)+((Q155/O155)*S155)*Inputs!$B$23,0)</f>
        <v>0</v>
      </c>
      <c r="AG155" s="103">
        <f>IF(AA155&gt;0,(((W155/T155)*AA155)*Inputs!$B$12)+((V155/T155)*AA155)*Inputs!$B$23,0)</f>
        <v>0</v>
      </c>
      <c r="AH155" s="331">
        <f>IF(AB155&gt;0,((J155*Inputs!$B$18*Inputs!$B$41/$C$18)-O155),0)</f>
        <v>0</v>
      </c>
      <c r="AI155" s="331">
        <f>IFERROR(((R155/O155)*AH155)*((Inputs!$B$12)+(((Q155/O155)*AH155)*Inputs!$B$23)),0)</f>
        <v>0</v>
      </c>
      <c r="AJ155" s="255"/>
      <c r="AK155" s="255"/>
      <c r="AL155" s="255">
        <f>IF(O155&gt;0,((R155/O155)*(O155-O34)*Inputs!$B$12)+((Q155/O155)*(O155-O34)*Inputs!$B$23),0)</f>
        <v>0.24835888906900891</v>
      </c>
      <c r="AM155" s="103">
        <f>(K34-K155)*Inputs!$B$12</f>
        <v>1.1424998702983146E-2</v>
      </c>
    </row>
    <row r="156" spans="2:39">
      <c r="B156" s="134">
        <v>0.5</v>
      </c>
      <c r="C156" s="125">
        <f>Profiles!E44</f>
        <v>257</v>
      </c>
      <c r="D156" s="126">
        <f>IF(C156&lt;Inputs!$B$7,Inputs!$B$6,C156)</f>
        <v>220</v>
      </c>
      <c r="E156" s="127">
        <f>IF(VLOOKUP(K35,Profiles!$B$58:$C$88,2,TRUE)&gt;0,VLOOKUP(K35,Profiles!$B$58:$C$88,2,TRUE),0)</f>
        <v>0.96</v>
      </c>
      <c r="F156" s="127">
        <f t="shared" si="101"/>
        <v>0.14396887159533073</v>
      </c>
      <c r="G156" s="127">
        <f>F156*Inputs!$B$11</f>
        <v>0.13101167315175097</v>
      </c>
      <c r="H156" s="127">
        <f t="shared" si="110"/>
        <v>9.4803826199740593E-2</v>
      </c>
      <c r="I156" s="45">
        <f>Profiles!I18</f>
        <v>0.02</v>
      </c>
      <c r="J156" s="45">
        <f>Profiles!F44</f>
        <v>0.125</v>
      </c>
      <c r="K156" s="46">
        <f>IF(AND(H156&gt;0,K35&lt;Inputs!$B$15),K35*(1-H156),K35)</f>
        <v>0.45452917207090365</v>
      </c>
      <c r="L156" s="46">
        <f t="shared" si="102"/>
        <v>0</v>
      </c>
      <c r="M156" s="114">
        <f>IF(Inputs!$B$26="Yes",VLOOKUP(D156,VWR[#All],2,FALSE),1)</f>
        <v>1</v>
      </c>
      <c r="N156" s="114">
        <f>IF(Inputs!$B$27="Yes",VLOOKUP(D156,VVR[#All],2,FALSE),0)</f>
        <v>0</v>
      </c>
      <c r="O156" s="46">
        <f>(J35*Inputs!$B$18*Inputs!$B$41/$C$18)*M156</f>
        <v>4.202413693425834</v>
      </c>
      <c r="P156" s="46">
        <f t="shared" si="103"/>
        <v>0</v>
      </c>
      <c r="Q156" s="46">
        <f t="shared" si="104"/>
        <v>3.7478845213549303</v>
      </c>
      <c r="R156" s="46">
        <f t="shared" si="105"/>
        <v>0.45452917207090365</v>
      </c>
      <c r="S156" s="103">
        <f t="shared" si="106"/>
        <v>0</v>
      </c>
      <c r="T156" s="46">
        <f t="shared" si="107"/>
        <v>4.202413693425834</v>
      </c>
      <c r="U156" s="46">
        <f t="shared" si="93"/>
        <v>0</v>
      </c>
      <c r="V156" s="46">
        <f t="shared" si="108"/>
        <v>3.7478845213549303</v>
      </c>
      <c r="W156" s="46">
        <f t="shared" si="94"/>
        <v>0.45452917207090365</v>
      </c>
      <c r="X156" s="103">
        <f t="shared" si="95"/>
        <v>14.58320825429934</v>
      </c>
      <c r="Y156" s="46">
        <f>X156*Inputs!$B$8</f>
        <v>5.5416191366337495</v>
      </c>
      <c r="Z156" s="170">
        <f t="shared" si="96"/>
        <v>225.54161913663376</v>
      </c>
      <c r="AA156" s="104">
        <f t="shared" si="97"/>
        <v>0</v>
      </c>
      <c r="AB156" s="104">
        <f t="shared" si="98"/>
        <v>4.202413693425834</v>
      </c>
      <c r="AC156" s="46">
        <f t="shared" si="99"/>
        <v>0</v>
      </c>
      <c r="AD156" s="46">
        <f t="shared" si="109"/>
        <v>3.7478845213549303</v>
      </c>
      <c r="AE156" s="46">
        <f t="shared" si="100"/>
        <v>0.45452917207090365</v>
      </c>
      <c r="AF156" s="103">
        <f>IF(S156&gt;0,(((R156/O156)*S156)*Inputs!$B$12)+((Q156/O156)*S156)*Inputs!$B$23,0)</f>
        <v>0</v>
      </c>
      <c r="AG156" s="103">
        <f>IF(AA156&gt;0,(((W156/T156)*AA156)*Inputs!$B$12)+((V156/T156)*AA156)*Inputs!$B$23,0)</f>
        <v>0</v>
      </c>
      <c r="AH156" s="331">
        <f>IF(AB156&gt;0,((J156*Inputs!$B$18*Inputs!$B$41/$C$18)-O156),0)</f>
        <v>0</v>
      </c>
      <c r="AI156" s="331">
        <f>IFERROR(((R156/O156)*AH156)*((Inputs!$B$12)+(((Q156/O156)*AH156)*Inputs!$B$23)),0)</f>
        <v>0</v>
      </c>
      <c r="AJ156" s="255"/>
      <c r="AK156" s="255"/>
      <c r="AL156" s="255">
        <f>IF(O156&gt;0,((R156/O156)*(O156-O35)*Inputs!$B$12)+((Q156/O156)*(O156-O35)*Inputs!$B$23),0)</f>
        <v>0.25765933486220349</v>
      </c>
      <c r="AM156" s="103">
        <f>(K35-K156)*Inputs!$B$12</f>
        <v>1.1424998702983146E-2</v>
      </c>
    </row>
    <row r="157" spans="2:39">
      <c r="B157" s="134">
        <v>0.54166666666666696</v>
      </c>
      <c r="C157" s="125">
        <f>Profiles!E45</f>
        <v>257</v>
      </c>
      <c r="D157" s="126">
        <f>IF(C157&lt;Inputs!$B$7,Inputs!$B$6,C157)</f>
        <v>220</v>
      </c>
      <c r="E157" s="127">
        <f>IF(VLOOKUP(K36,Profiles!$B$58:$C$88,2,TRUE)&gt;0,VLOOKUP(K36,Profiles!$B$58:$C$88,2,TRUE),0)</f>
        <v>0.96</v>
      </c>
      <c r="F157" s="127">
        <f t="shared" si="101"/>
        <v>0.14396887159533073</v>
      </c>
      <c r="G157" s="127">
        <f>F157*Inputs!$B$11</f>
        <v>0.13101167315175097</v>
      </c>
      <c r="H157" s="127">
        <f t="shared" si="110"/>
        <v>9.4803826199740593E-2</v>
      </c>
      <c r="I157" s="45">
        <f>Profiles!I19</f>
        <v>0.02</v>
      </c>
      <c r="J157" s="45">
        <f>Profiles!F45</f>
        <v>0.125</v>
      </c>
      <c r="K157" s="46">
        <f>IF(AND(H157&gt;0,K36&lt;Inputs!$B$15),K36*(1-H157),K36)</f>
        <v>0.45452917207090365</v>
      </c>
      <c r="L157" s="46">
        <f t="shared" si="102"/>
        <v>0</v>
      </c>
      <c r="M157" s="114">
        <f>IF(Inputs!$B$26="Yes",VLOOKUP(D157,VWR[#All],2,FALSE),1)</f>
        <v>1</v>
      </c>
      <c r="N157" s="114">
        <f>IF(Inputs!$B$27="Yes",VLOOKUP(D157,VVR[#All],2,FALSE),0)</f>
        <v>0</v>
      </c>
      <c r="O157" s="46">
        <f>(J36*Inputs!$B$18*Inputs!$B$41/$C$18)*M157</f>
        <v>4.202413693425834</v>
      </c>
      <c r="P157" s="46">
        <f t="shared" si="103"/>
        <v>0</v>
      </c>
      <c r="Q157" s="46">
        <f t="shared" si="104"/>
        <v>3.7478845213549303</v>
      </c>
      <c r="R157" s="46">
        <f t="shared" si="105"/>
        <v>0.45452917207090365</v>
      </c>
      <c r="S157" s="103">
        <f t="shared" si="106"/>
        <v>0</v>
      </c>
      <c r="T157" s="46">
        <f t="shared" si="107"/>
        <v>4.202413693425834</v>
      </c>
      <c r="U157" s="46">
        <f t="shared" si="93"/>
        <v>0</v>
      </c>
      <c r="V157" s="46">
        <f t="shared" si="108"/>
        <v>3.7478845213549303</v>
      </c>
      <c r="W157" s="46">
        <f t="shared" si="94"/>
        <v>0.45452917207090365</v>
      </c>
      <c r="X157" s="103">
        <f t="shared" si="95"/>
        <v>14.58320825429934</v>
      </c>
      <c r="Y157" s="46">
        <f>X157*Inputs!$B$8</f>
        <v>5.5416191366337495</v>
      </c>
      <c r="Z157" s="170">
        <f t="shared" si="96"/>
        <v>225.54161913663376</v>
      </c>
      <c r="AA157" s="104">
        <f t="shared" si="97"/>
        <v>0</v>
      </c>
      <c r="AB157" s="104">
        <f t="shared" si="98"/>
        <v>4.202413693425834</v>
      </c>
      <c r="AC157" s="46">
        <f t="shared" si="99"/>
        <v>0</v>
      </c>
      <c r="AD157" s="46">
        <f t="shared" si="109"/>
        <v>3.7478845213549303</v>
      </c>
      <c r="AE157" s="46">
        <f t="shared" si="100"/>
        <v>0.45452917207090365</v>
      </c>
      <c r="AF157" s="103">
        <f>IF(S157&gt;0,(((R157/O157)*S157)*Inputs!$B$12)+((Q157/O157)*S157)*Inputs!$B$23,0)</f>
        <v>0</v>
      </c>
      <c r="AG157" s="103">
        <f>IF(AA157&gt;0,(((W157/T157)*AA157)*Inputs!$B$12)+((V157/T157)*AA157)*Inputs!$B$23,0)</f>
        <v>0</v>
      </c>
      <c r="AH157" s="331">
        <f>IF(AB157&gt;0,((J157*Inputs!$B$18*Inputs!$B$41/$C$18)-O157),0)</f>
        <v>0</v>
      </c>
      <c r="AI157" s="331">
        <f>IFERROR(((R157/O157)*AH157)*((Inputs!$B$12)+(((Q157/O157)*AH157)*Inputs!$B$23)),0)</f>
        <v>0</v>
      </c>
      <c r="AJ157" s="255"/>
      <c r="AK157" s="255"/>
      <c r="AL157" s="255">
        <f>IF(O157&gt;0,((R157/O157)*(O157-O36)*Inputs!$B$12)+((Q157/O157)*(O157-O36)*Inputs!$B$23),0)</f>
        <v>0.25765933486220349</v>
      </c>
      <c r="AM157" s="103">
        <f>(K36-K157)*Inputs!$B$12</f>
        <v>1.1424998702983146E-2</v>
      </c>
    </row>
    <row r="158" spans="2:39">
      <c r="B158" s="134">
        <v>0.58333333333333304</v>
      </c>
      <c r="C158" s="125">
        <f>Profiles!E46</f>
        <v>256</v>
      </c>
      <c r="D158" s="126">
        <f>IF(C158&lt;Inputs!$B$7,Inputs!$B$6,C158)</f>
        <v>220</v>
      </c>
      <c r="E158" s="127">
        <f>IF(VLOOKUP(K37,Profiles!$B$58:$C$88,2,TRUE)&gt;0,VLOOKUP(K37,Profiles!$B$58:$C$88,2,TRUE),0)</f>
        <v>0.96</v>
      </c>
      <c r="F158" s="127">
        <f t="shared" si="101"/>
        <v>0.140625</v>
      </c>
      <c r="G158" s="127">
        <f>F158*Inputs!$B$11</f>
        <v>0.12796874999999999</v>
      </c>
      <c r="H158" s="127">
        <f t="shared" si="110"/>
        <v>9.1634114583333259E-2</v>
      </c>
      <c r="I158" s="45">
        <f>Profiles!I20</f>
        <v>0.02</v>
      </c>
      <c r="J158" s="45">
        <f>Profiles!F46</f>
        <v>0.12</v>
      </c>
      <c r="K158" s="46">
        <f>IF(AND(H158&gt;0,K37&lt;Inputs!$B$15),K37*(1-H158),K37)</f>
        <v>0.45612078993055566</v>
      </c>
      <c r="L158" s="46">
        <f t="shared" si="102"/>
        <v>0</v>
      </c>
      <c r="M158" s="114">
        <f>IF(Inputs!$B$26="Yes",VLOOKUP(D158,VWR[#All],2,FALSE),1)</f>
        <v>1</v>
      </c>
      <c r="N158" s="114">
        <f>IF(Inputs!$B$27="Yes",VLOOKUP(D158,VVR[#All],2,FALSE),0)</f>
        <v>0</v>
      </c>
      <c r="O158" s="46">
        <f>(J37*Inputs!$B$18*Inputs!$B$41/$C$18)*M158</f>
        <v>4.0343171456888012</v>
      </c>
      <c r="P158" s="46">
        <f t="shared" si="103"/>
        <v>0</v>
      </c>
      <c r="Q158" s="46">
        <f t="shared" si="104"/>
        <v>3.5781963557582457</v>
      </c>
      <c r="R158" s="46">
        <f t="shared" si="105"/>
        <v>0.45612078993055566</v>
      </c>
      <c r="S158" s="103">
        <f t="shared" si="106"/>
        <v>0</v>
      </c>
      <c r="T158" s="46">
        <f t="shared" si="107"/>
        <v>4.0343171456888012</v>
      </c>
      <c r="U158" s="46">
        <f t="shared" si="93"/>
        <v>0</v>
      </c>
      <c r="V158" s="46">
        <f t="shared" si="108"/>
        <v>3.5781963557582457</v>
      </c>
      <c r="W158" s="46">
        <f t="shared" si="94"/>
        <v>0.45612078993055566</v>
      </c>
      <c r="X158" s="103">
        <f t="shared" si="95"/>
        <v>13.977329514680648</v>
      </c>
      <c r="Y158" s="46">
        <f>X158*Inputs!$B$8</f>
        <v>5.3113852155786461</v>
      </c>
      <c r="Z158" s="170">
        <f t="shared" si="96"/>
        <v>225.31138521557864</v>
      </c>
      <c r="AA158" s="104">
        <f t="shared" si="97"/>
        <v>0</v>
      </c>
      <c r="AB158" s="104">
        <f t="shared" si="98"/>
        <v>4.0343171456888012</v>
      </c>
      <c r="AC158" s="46">
        <f t="shared" si="99"/>
        <v>0</v>
      </c>
      <c r="AD158" s="46">
        <f t="shared" si="109"/>
        <v>3.5781963557582457</v>
      </c>
      <c r="AE158" s="46">
        <f t="shared" si="100"/>
        <v>0.45612078993055566</v>
      </c>
      <c r="AF158" s="103">
        <f>IF(S158&gt;0,(((R158/O158)*S158)*Inputs!$B$12)+((Q158/O158)*S158)*Inputs!$B$23,0)</f>
        <v>0</v>
      </c>
      <c r="AG158" s="103">
        <f>IF(AA158&gt;0,(((W158/T158)*AA158)*Inputs!$B$12)+((V158/T158)*AA158)*Inputs!$B$23,0)</f>
        <v>0</v>
      </c>
      <c r="AH158" s="331">
        <f>IF(AB158&gt;0,((J158*Inputs!$B$18*Inputs!$B$41/$C$18)-O158),0)</f>
        <v>0</v>
      </c>
      <c r="AI158" s="331">
        <f>IFERROR(((R158/O158)*AH158)*((Inputs!$B$12)+(((Q158/O158)*AH158)*Inputs!$B$23)),0)</f>
        <v>0</v>
      </c>
      <c r="AJ158" s="255"/>
      <c r="AK158" s="255"/>
      <c r="AL158" s="255">
        <f>IF(O158&gt;0,((R158/O158)*(O158-O37)*Inputs!$B$12)+((Q158/O158)*(O158-O37)*Inputs!$B$23),0)</f>
        <v>0.21640318499336808</v>
      </c>
      <c r="AM158" s="103">
        <f>(K37-K158)*Inputs!$B$12</f>
        <v>1.1043010416666665E-2</v>
      </c>
    </row>
    <row r="159" spans="2:39">
      <c r="B159" s="134">
        <v>0.625</v>
      </c>
      <c r="C159" s="125">
        <f>Profiles!E47</f>
        <v>256</v>
      </c>
      <c r="D159" s="126">
        <f>IF(C159&lt;Inputs!$B$7,Inputs!$B$6,C159)</f>
        <v>220</v>
      </c>
      <c r="E159" s="127">
        <f>IF(VLOOKUP(K38,Profiles!$B$58:$C$88,2,TRUE)&gt;0,VLOOKUP(K38,Profiles!$B$58:$C$88,2,TRUE),0)</f>
        <v>0.96</v>
      </c>
      <c r="F159" s="127">
        <f t="shared" si="101"/>
        <v>0.140625</v>
      </c>
      <c r="G159" s="127">
        <f>F159*Inputs!$B$11</f>
        <v>0.12796874999999999</v>
      </c>
      <c r="H159" s="127">
        <f t="shared" si="110"/>
        <v>9.1634114583333259E-2</v>
      </c>
      <c r="I159" s="45">
        <f>Profiles!I21</f>
        <v>0.02</v>
      </c>
      <c r="J159" s="45">
        <f>Profiles!F47</f>
        <v>0.11</v>
      </c>
      <c r="K159" s="46">
        <f>IF(AND(H159&gt;0,K38&lt;Inputs!$B$15),K38*(1-H159),K38)</f>
        <v>0.45612078993055566</v>
      </c>
      <c r="L159" s="46">
        <f t="shared" si="102"/>
        <v>0</v>
      </c>
      <c r="M159" s="114">
        <f>IF(Inputs!$B$26="Yes",VLOOKUP(D159,VWR[#All],2,FALSE),1)</f>
        <v>1</v>
      </c>
      <c r="N159" s="114">
        <f>IF(Inputs!$B$27="Yes",VLOOKUP(D159,VVR[#All],2,FALSE),0)</f>
        <v>0</v>
      </c>
      <c r="O159" s="46">
        <f>(J38*Inputs!$B$18*Inputs!$B$41/$C$18)*M159</f>
        <v>3.6981240502147341</v>
      </c>
      <c r="P159" s="46">
        <f t="shared" si="103"/>
        <v>0</v>
      </c>
      <c r="Q159" s="46">
        <f t="shared" si="104"/>
        <v>3.2420032602841786</v>
      </c>
      <c r="R159" s="46">
        <f t="shared" si="105"/>
        <v>0.45612078993055566</v>
      </c>
      <c r="S159" s="103">
        <f t="shared" si="106"/>
        <v>0</v>
      </c>
      <c r="T159" s="46">
        <f t="shared" si="107"/>
        <v>3.6981240502147341</v>
      </c>
      <c r="U159" s="46">
        <f t="shared" si="93"/>
        <v>0</v>
      </c>
      <c r="V159" s="46">
        <f t="shared" si="108"/>
        <v>3.2420032602841786</v>
      </c>
      <c r="W159" s="46">
        <f t="shared" si="94"/>
        <v>0.45612078993055566</v>
      </c>
      <c r="X159" s="103">
        <f t="shared" si="95"/>
        <v>12.664075235485072</v>
      </c>
      <c r="Y159" s="46">
        <f>X159*Inputs!$B$8</f>
        <v>4.8123485894843272</v>
      </c>
      <c r="Z159" s="170">
        <f t="shared" si="96"/>
        <v>224.81234858948432</v>
      </c>
      <c r="AA159" s="104">
        <f t="shared" si="97"/>
        <v>0</v>
      </c>
      <c r="AB159" s="104">
        <f t="shared" si="98"/>
        <v>3.6981240502147341</v>
      </c>
      <c r="AC159" s="46">
        <f t="shared" si="99"/>
        <v>0</v>
      </c>
      <c r="AD159" s="46">
        <f t="shared" si="109"/>
        <v>3.2420032602841786</v>
      </c>
      <c r="AE159" s="46">
        <f t="shared" si="100"/>
        <v>0.45612078993055566</v>
      </c>
      <c r="AF159" s="103">
        <f>IF(S159&gt;0,(((R159/O159)*S159)*Inputs!$B$12)+((Q159/O159)*S159)*Inputs!$B$23,0)</f>
        <v>0</v>
      </c>
      <c r="AG159" s="103">
        <f>IF(AA159&gt;0,(((W159/T159)*AA159)*Inputs!$B$12)+((V159/T159)*AA159)*Inputs!$B$23,0)</f>
        <v>0</v>
      </c>
      <c r="AH159" s="331">
        <f>IF(AB159&gt;0,((J159*Inputs!$B$18*Inputs!$B$41/$C$18)-O159),0)</f>
        <v>0</v>
      </c>
      <c r="AI159" s="331">
        <f>IFERROR(((R159/O159)*AH159)*((Inputs!$B$12)+(((Q159/O159)*AH159)*Inputs!$B$23)),0)</f>
        <v>0</v>
      </c>
      <c r="AJ159" s="255"/>
      <c r="AK159" s="255"/>
      <c r="AL159" s="255">
        <f>IF(O159&gt;0,((R159/O159)*(O159-O38)*Inputs!$B$12)+((Q159/O159)*(O159-O38)*Inputs!$B$23),0)</f>
        <v>0.20020136733628183</v>
      </c>
      <c r="AM159" s="103">
        <f>(K38-K159)*Inputs!$B$12</f>
        <v>1.1043010416666665E-2</v>
      </c>
    </row>
    <row r="160" spans="2:39">
      <c r="B160" s="134">
        <v>0.66666666666666696</v>
      </c>
      <c r="C160" s="125">
        <f>Profiles!E48</f>
        <v>255</v>
      </c>
      <c r="D160" s="126">
        <f>IF(C160&lt;Inputs!$B$7,Inputs!$B$6,C160)</f>
        <v>220</v>
      </c>
      <c r="E160" s="127">
        <f>IF(VLOOKUP(K39,Profiles!$B$58:$C$88,2,TRUE)&gt;0,VLOOKUP(K39,Profiles!$B$58:$C$88,2,TRUE),0)</f>
        <v>0.98</v>
      </c>
      <c r="F160" s="127">
        <f t="shared" si="101"/>
        <v>0.13725490196078433</v>
      </c>
      <c r="G160" s="127">
        <f>F160*Inputs!$B$11</f>
        <v>0.12490196078431375</v>
      </c>
      <c r="H160" s="127">
        <f t="shared" si="110"/>
        <v>0.10704281712685071</v>
      </c>
      <c r="I160" s="45">
        <f>Profiles!I22</f>
        <v>0.05</v>
      </c>
      <c r="J160" s="45">
        <f>Profiles!F48</f>
        <v>0.08</v>
      </c>
      <c r="K160" s="46">
        <f>IF(AND(H160&gt;0,K39&lt;Inputs!$B$15),K39*(1-H160),K39)</f>
        <v>1.1209589169000937</v>
      </c>
      <c r="L160" s="46">
        <f t="shared" si="102"/>
        <v>0</v>
      </c>
      <c r="M160" s="114">
        <f>IF(Inputs!$B$26="Yes",VLOOKUP(D160,VWR[#All],2,FALSE),1)</f>
        <v>1</v>
      </c>
      <c r="N160" s="114">
        <f>IF(Inputs!$B$27="Yes",VLOOKUP(D160,VVR[#All],2,FALSE),0)</f>
        <v>0</v>
      </c>
      <c r="O160" s="46">
        <f>(J39*Inputs!$B$18*Inputs!$B$41/$C$18)*M160</f>
        <v>2.6895447637925338</v>
      </c>
      <c r="P160" s="46">
        <f t="shared" si="103"/>
        <v>0</v>
      </c>
      <c r="Q160" s="46">
        <f t="shared" si="104"/>
        <v>1.5685858468924401</v>
      </c>
      <c r="R160" s="46">
        <f t="shared" si="105"/>
        <v>1.1209589169000937</v>
      </c>
      <c r="S160" s="103">
        <f t="shared" si="106"/>
        <v>0</v>
      </c>
      <c r="T160" s="46">
        <f t="shared" si="107"/>
        <v>2.6895447637925338</v>
      </c>
      <c r="U160" s="46">
        <f t="shared" si="93"/>
        <v>0</v>
      </c>
      <c r="V160" s="46">
        <f t="shared" si="108"/>
        <v>1.5685858468924401</v>
      </c>
      <c r="W160" s="46">
        <f t="shared" si="94"/>
        <v>1.1209589169000937</v>
      </c>
      <c r="X160" s="103">
        <f t="shared" si="95"/>
        <v>6.1513170466370202</v>
      </c>
      <c r="Y160" s="46">
        <f>X160*Inputs!$B$8</f>
        <v>2.3375004777220676</v>
      </c>
      <c r="Z160" s="170">
        <f t="shared" si="96"/>
        <v>222.33750047772207</v>
      </c>
      <c r="AA160" s="104">
        <f t="shared" si="97"/>
        <v>0</v>
      </c>
      <c r="AB160" s="104">
        <f t="shared" si="98"/>
        <v>2.6895447637925338</v>
      </c>
      <c r="AC160" s="46">
        <f t="shared" si="99"/>
        <v>0</v>
      </c>
      <c r="AD160" s="46">
        <f t="shared" si="109"/>
        <v>1.5685858468924401</v>
      </c>
      <c r="AE160" s="46">
        <f t="shared" si="100"/>
        <v>1.1209589169000937</v>
      </c>
      <c r="AF160" s="103">
        <f>IF(S160&gt;0,(((R160/O160)*S160)*Inputs!$B$12)+((Q160/O160)*S160)*Inputs!$B$23,0)</f>
        <v>0</v>
      </c>
      <c r="AG160" s="103">
        <f>IF(AA160&gt;0,(((W160/T160)*AA160)*Inputs!$B$12)+((V160/T160)*AA160)*Inputs!$B$23,0)</f>
        <v>0</v>
      </c>
      <c r="AH160" s="331">
        <f>IF(AB160&gt;0,((J160*Inputs!$B$18*Inputs!$B$41/$C$18)-O160),0)</f>
        <v>0</v>
      </c>
      <c r="AI160" s="331">
        <f>IFERROR(((R160/O160)*AH160)*((Inputs!$B$12)+(((Q160/O160)*AH160)*Inputs!$B$23)),0)</f>
        <v>0</v>
      </c>
      <c r="AJ160" s="255"/>
      <c r="AK160" s="255"/>
      <c r="AL160" s="255">
        <f>IF(O160&gt;0,((R160/O160)*(O160-O39)*Inputs!$B$12)+((Q160/O160)*(O160-O39)*Inputs!$B$23),0)</f>
        <v>0.15546855017225916</v>
      </c>
      <c r="AM160" s="103">
        <f>(K39-K160)*Inputs!$B$12</f>
        <v>3.2249859943977568E-2</v>
      </c>
    </row>
    <row r="161" spans="2:39">
      <c r="B161" s="134">
        <v>0.70833333333333304</v>
      </c>
      <c r="C161" s="125">
        <f>Profiles!E49</f>
        <v>254</v>
      </c>
      <c r="D161" s="126">
        <f>IF(C161&lt;Inputs!$B$7,Inputs!$B$6,C161)</f>
        <v>220</v>
      </c>
      <c r="E161" s="127">
        <f>IF(VLOOKUP(K40,Profiles!$B$58:$C$88,2,TRUE)&gt;0,VLOOKUP(K40,Profiles!$B$58:$C$88,2,TRUE),0)</f>
        <v>0.98</v>
      </c>
      <c r="F161" s="127">
        <f t="shared" si="101"/>
        <v>0.13385826771653545</v>
      </c>
      <c r="G161" s="127">
        <f>F161*Inputs!$B$11</f>
        <v>0.12181102362204727</v>
      </c>
      <c r="H161" s="127">
        <f t="shared" si="110"/>
        <v>0.10388879961433395</v>
      </c>
      <c r="I161" s="45">
        <f>Profiles!I23</f>
        <v>0.08</v>
      </c>
      <c r="J161" s="45">
        <f>Profiles!F49</f>
        <v>4.4999999999999998E-2</v>
      </c>
      <c r="K161" s="46">
        <f>IF(AND(H161&gt;0,K40&lt;Inputs!$B$15),K40*(1-H161),K40)</f>
        <v>1.7998692163479568</v>
      </c>
      <c r="L161" s="46">
        <f t="shared" si="102"/>
        <v>0</v>
      </c>
      <c r="M161" s="114">
        <f>IF(Inputs!$B$26="Yes",VLOOKUP(D161,VWR[#All],2,FALSE),1)</f>
        <v>1</v>
      </c>
      <c r="N161" s="114">
        <f>IF(Inputs!$B$27="Yes",VLOOKUP(D161,VVR[#All],2,FALSE),0)</f>
        <v>0</v>
      </c>
      <c r="O161" s="46">
        <f>(J40*Inputs!$B$18*Inputs!$B$41/$C$18)*M161</f>
        <v>1.5128689296333</v>
      </c>
      <c r="P161" s="46">
        <f t="shared" si="103"/>
        <v>0.28700028671465683</v>
      </c>
      <c r="Q161" s="46">
        <f t="shared" si="104"/>
        <v>0</v>
      </c>
      <c r="R161" s="46">
        <f t="shared" si="105"/>
        <v>1.5128689296333</v>
      </c>
      <c r="S161" s="103">
        <f t="shared" si="106"/>
        <v>0</v>
      </c>
      <c r="T161" s="46">
        <f t="shared" si="107"/>
        <v>1.5128689296333</v>
      </c>
      <c r="U161" s="46">
        <f t="shared" si="93"/>
        <v>0.28700028671465683</v>
      </c>
      <c r="V161" s="46">
        <f t="shared" si="108"/>
        <v>0</v>
      </c>
      <c r="W161" s="46">
        <f t="shared" si="94"/>
        <v>1.5128689296333</v>
      </c>
      <c r="X161" s="103">
        <f t="shared" si="95"/>
        <v>0</v>
      </c>
      <c r="Y161" s="46">
        <f>X161*Inputs!$B$8</f>
        <v>0</v>
      </c>
      <c r="Z161" s="170">
        <f t="shared" si="96"/>
        <v>220</v>
      </c>
      <c r="AA161" s="104">
        <f t="shared" si="97"/>
        <v>0</v>
      </c>
      <c r="AB161" s="104">
        <f t="shared" si="98"/>
        <v>1.5128689296333</v>
      </c>
      <c r="AC161" s="46">
        <f t="shared" si="99"/>
        <v>0.28700028671465683</v>
      </c>
      <c r="AD161" s="46">
        <f t="shared" si="109"/>
        <v>0</v>
      </c>
      <c r="AE161" s="46">
        <f t="shared" si="100"/>
        <v>1.5128689296333</v>
      </c>
      <c r="AF161" s="103">
        <f>IF(S161&gt;0,(((R161/O161)*S161)*Inputs!$B$12)+((Q161/O161)*S161)*Inputs!$B$23,0)</f>
        <v>0</v>
      </c>
      <c r="AG161" s="103">
        <f>IF(AA161&gt;0,(((W161/T161)*AA161)*Inputs!$B$12)+((V161/T161)*AA161)*Inputs!$B$23,0)</f>
        <v>0</v>
      </c>
      <c r="AH161" s="331">
        <f>IF(AB161&gt;0,((J161*Inputs!$B$18*Inputs!$B$41/$C$18)-O161),0)</f>
        <v>0</v>
      </c>
      <c r="AI161" s="331">
        <f>IFERROR(((R161/O161)*AH161)*((Inputs!$B$12)+(((Q161/O161)*AH161)*Inputs!$B$23)),0)</f>
        <v>0</v>
      </c>
      <c r="AJ161" s="255"/>
      <c r="AK161" s="255"/>
      <c r="AL161" s="255">
        <f>IF(O161&gt;0,((R161/O161)*(O161-O40)*Inputs!$B$12)+((Q161/O161)*(O161-O40)*Inputs!$B$23),0)</f>
        <v>0.10030926151040633</v>
      </c>
      <c r="AM161" s="103">
        <f>(K40-K161)*Inputs!$B$12</f>
        <v>5.0079388076490455E-2</v>
      </c>
    </row>
    <row r="162" spans="2:39">
      <c r="B162" s="134">
        <v>0.75</v>
      </c>
      <c r="C162" s="125">
        <f>Profiles!E50</f>
        <v>254</v>
      </c>
      <c r="D162" s="126">
        <f>IF(C162&lt;Inputs!$B$7,Inputs!$B$6,C162)</f>
        <v>220</v>
      </c>
      <c r="E162" s="127">
        <f>IF(VLOOKUP(K41,Profiles!$B$58:$C$88,2,TRUE)&gt;0,VLOOKUP(K41,Profiles!$B$58:$C$88,2,TRUE),0)</f>
        <v>0.98</v>
      </c>
      <c r="F162" s="127">
        <f t="shared" si="101"/>
        <v>0.13385826771653545</v>
      </c>
      <c r="G162" s="127">
        <f>F162*Inputs!$B$11</f>
        <v>0.12181102362204727</v>
      </c>
      <c r="H162" s="127">
        <f t="shared" si="110"/>
        <v>0.10388879961433395</v>
      </c>
      <c r="I162" s="45">
        <f>Profiles!I24</f>
        <v>0.12</v>
      </c>
      <c r="J162" s="45">
        <f>Profiles!F50</f>
        <v>0.02</v>
      </c>
      <c r="K162" s="46">
        <f>IF(AND(H162&gt;0,K41&lt;Inputs!$B$15),K41*(1-H162),K41)</f>
        <v>2.6998038245219349</v>
      </c>
      <c r="L162" s="46">
        <f t="shared" si="102"/>
        <v>0</v>
      </c>
      <c r="M162" s="114">
        <f>IF(Inputs!$B$26="Yes",VLOOKUP(D162,VWR[#All],2,FALSE),1)</f>
        <v>1</v>
      </c>
      <c r="N162" s="114">
        <f>IF(Inputs!$B$27="Yes",VLOOKUP(D162,VVR[#All],2,FALSE),0)</f>
        <v>0</v>
      </c>
      <c r="O162" s="46">
        <f>(J41*Inputs!$B$18*Inputs!$B$41/$C$18)*M162</f>
        <v>0.67238619094813346</v>
      </c>
      <c r="P162" s="46">
        <f t="shared" si="103"/>
        <v>2.0274176335738012</v>
      </c>
      <c r="Q162" s="46">
        <f t="shared" si="104"/>
        <v>0</v>
      </c>
      <c r="R162" s="46">
        <f t="shared" si="105"/>
        <v>0.67238619094813346</v>
      </c>
      <c r="S162" s="103">
        <f t="shared" si="106"/>
        <v>0</v>
      </c>
      <c r="T162" s="46">
        <f t="shared" si="107"/>
        <v>0.67238619094813346</v>
      </c>
      <c r="U162" s="46">
        <f t="shared" si="93"/>
        <v>2.0274176335738012</v>
      </c>
      <c r="V162" s="46">
        <f t="shared" si="108"/>
        <v>0</v>
      </c>
      <c r="W162" s="46">
        <f t="shared" si="94"/>
        <v>0.67238619094813346</v>
      </c>
      <c r="X162" s="103">
        <f t="shared" si="95"/>
        <v>0</v>
      </c>
      <c r="Y162" s="46">
        <f>X162*Inputs!$B$8</f>
        <v>0</v>
      </c>
      <c r="Z162" s="170">
        <f t="shared" si="96"/>
        <v>220</v>
      </c>
      <c r="AA162" s="104">
        <f t="shared" si="97"/>
        <v>0</v>
      </c>
      <c r="AB162" s="104">
        <f t="shared" si="98"/>
        <v>0.67238619094813346</v>
      </c>
      <c r="AC162" s="46">
        <f t="shared" si="99"/>
        <v>2.0274176335738012</v>
      </c>
      <c r="AD162" s="46">
        <f t="shared" si="109"/>
        <v>0</v>
      </c>
      <c r="AE162" s="46">
        <f t="shared" si="100"/>
        <v>0.67238619094813346</v>
      </c>
      <c r="AF162" s="103">
        <f>IF(S162&gt;0,(((R162/O162)*S162)*Inputs!$B$12)+((Q162/O162)*S162)*Inputs!$B$23,0)</f>
        <v>0</v>
      </c>
      <c r="AG162" s="103">
        <f>IF(AA162&gt;0,(((W162/T162)*AA162)*Inputs!$B$12)+((V162/T162)*AA162)*Inputs!$B$23,0)</f>
        <v>0</v>
      </c>
      <c r="AH162" s="331">
        <f>IF(AB162&gt;0,((J162*Inputs!$B$18*Inputs!$B$41/$C$18)-O162),0)</f>
        <v>0</v>
      </c>
      <c r="AI162" s="331">
        <f>IFERROR(((R162/O162)*AH162)*((Inputs!$B$12)+(((Q162/O162)*AH162)*Inputs!$B$23)),0)</f>
        <v>0</v>
      </c>
      <c r="AJ162" s="255"/>
      <c r="AK162" s="255"/>
      <c r="AL162" s="255">
        <f>IF(O162&gt;0,((R162/O162)*(O162-O41)*Inputs!$B$12)+((Q162/O162)*(O162-O41)*Inputs!$B$23),0)</f>
        <v>4.4581894004625047E-2</v>
      </c>
      <c r="AM162" s="103">
        <f>(K41-K162)*Inputs!$B$12</f>
        <v>7.5119082114735711E-2</v>
      </c>
    </row>
    <row r="163" spans="2:39">
      <c r="B163" s="134">
        <v>0.79166666666666696</v>
      </c>
      <c r="C163" s="125">
        <f>Profiles!E51</f>
        <v>255</v>
      </c>
      <c r="D163" s="126">
        <f>IF(C163&lt;Inputs!$B$7,Inputs!$B$6,C163)</f>
        <v>220</v>
      </c>
      <c r="E163" s="127">
        <f>IF(VLOOKUP(K42,Profiles!$B$58:$C$88,2,TRUE)&gt;0,VLOOKUP(K42,Profiles!$B$58:$C$88,2,TRUE),0)</f>
        <v>0.98</v>
      </c>
      <c r="F163" s="127">
        <f t="shared" si="101"/>
        <v>0.13725490196078433</v>
      </c>
      <c r="G163" s="127">
        <f>F163*Inputs!$B$11</f>
        <v>0.12490196078431375</v>
      </c>
      <c r="H163" s="127">
        <f t="shared" si="110"/>
        <v>0.10704281712685071</v>
      </c>
      <c r="I163" s="45">
        <f>Profiles!I25</f>
        <v>0.12</v>
      </c>
      <c r="J163" s="45">
        <f>Profiles!F51</f>
        <v>0</v>
      </c>
      <c r="K163" s="46">
        <f>IF(AND(H163&gt;0,K42&lt;Inputs!$B$15),K42*(1-H163),K42)</f>
        <v>2.6903014005602244</v>
      </c>
      <c r="L163" s="46">
        <f t="shared" si="102"/>
        <v>0</v>
      </c>
      <c r="M163" s="114">
        <f>IF(Inputs!$B$26="Yes",VLOOKUP(D163,VWR[#All],2,FALSE),1)</f>
        <v>1</v>
      </c>
      <c r="N163" s="114">
        <f>IF(Inputs!$B$27="Yes",VLOOKUP(D163,VVR[#All],2,FALSE),0)</f>
        <v>0</v>
      </c>
      <c r="O163" s="46">
        <f>(J42*Inputs!$B$18*Inputs!$B$41/$C$18)*M163</f>
        <v>0</v>
      </c>
      <c r="P163" s="46">
        <f t="shared" si="103"/>
        <v>2.6903014005602244</v>
      </c>
      <c r="Q163" s="46">
        <f t="shared" si="104"/>
        <v>0</v>
      </c>
      <c r="R163" s="46">
        <f t="shared" si="105"/>
        <v>0</v>
      </c>
      <c r="S163" s="103">
        <f t="shared" si="106"/>
        <v>0</v>
      </c>
      <c r="T163" s="46">
        <f t="shared" si="107"/>
        <v>0</v>
      </c>
      <c r="U163" s="46">
        <f t="shared" si="93"/>
        <v>2.6903014005602244</v>
      </c>
      <c r="V163" s="46">
        <f t="shared" si="108"/>
        <v>0</v>
      </c>
      <c r="W163" s="46">
        <f t="shared" si="94"/>
        <v>0</v>
      </c>
      <c r="X163" s="103">
        <f t="shared" si="95"/>
        <v>0</v>
      </c>
      <c r="Y163" s="46">
        <f>X163*Inputs!$B$8</f>
        <v>0</v>
      </c>
      <c r="Z163" s="170">
        <f t="shared" si="96"/>
        <v>220</v>
      </c>
      <c r="AA163" s="104">
        <f t="shared" si="97"/>
        <v>0</v>
      </c>
      <c r="AB163" s="104">
        <f t="shared" si="98"/>
        <v>0</v>
      </c>
      <c r="AC163" s="46">
        <f t="shared" si="99"/>
        <v>2.6903014005602244</v>
      </c>
      <c r="AD163" s="46">
        <f t="shared" si="109"/>
        <v>0</v>
      </c>
      <c r="AE163" s="46">
        <f t="shared" si="100"/>
        <v>0</v>
      </c>
      <c r="AF163" s="103">
        <f>IF(S163&gt;0,(((R163/O163)*S163)*Inputs!$B$12)+((Q163/O163)*S163)*Inputs!$B$23,0)</f>
        <v>0</v>
      </c>
      <c r="AG163" s="103">
        <f>IF(AA163&gt;0,(((W163/T163)*AA163)*Inputs!$B$12)+((V163/T163)*AA163)*Inputs!$B$23,0)</f>
        <v>0</v>
      </c>
      <c r="AH163" s="331">
        <f>IF(AB163&gt;0,((J163*Inputs!$B$18*Inputs!$B$41/$C$18)-O163),0)</f>
        <v>0</v>
      </c>
      <c r="AI163" s="331">
        <f>IFERROR(((R163/O163)*AH163)*((Inputs!$B$12)+(((Q163/O163)*AH163)*Inputs!$B$23)),0)</f>
        <v>0</v>
      </c>
      <c r="AJ163" s="255"/>
      <c r="AK163" s="255"/>
      <c r="AL163" s="255">
        <f>IF(O163&gt;0,((R163/O163)*(O163-O42)*Inputs!$B$12)+((Q163/O163)*(O163-O42)*Inputs!$B$23),0)</f>
        <v>0</v>
      </c>
      <c r="AM163" s="103">
        <f>(K42-K163)*Inputs!$B$12</f>
        <v>7.7399663865546239E-2</v>
      </c>
    </row>
    <row r="164" spans="2:39">
      <c r="B164" s="134">
        <v>0.83333333333333304</v>
      </c>
      <c r="C164" s="125">
        <f>Profiles!E52</f>
        <v>255</v>
      </c>
      <c r="D164" s="126">
        <f>IF(C164&lt;Inputs!$B$7,Inputs!$B$6,C164)</f>
        <v>220</v>
      </c>
      <c r="E164" s="127">
        <f>IF(VLOOKUP(K43,Profiles!$B$58:$C$88,2,TRUE)&gt;0,VLOOKUP(K43,Profiles!$B$58:$C$88,2,TRUE),0)</f>
        <v>0.98</v>
      </c>
      <c r="F164" s="127">
        <f t="shared" si="101"/>
        <v>0.13725490196078433</v>
      </c>
      <c r="G164" s="127">
        <f>F164*Inputs!$B$11</f>
        <v>0.12490196078431375</v>
      </c>
      <c r="H164" s="127">
        <f t="shared" si="110"/>
        <v>0.10704281712685071</v>
      </c>
      <c r="I164" s="45">
        <f>Profiles!I26</f>
        <v>0.08</v>
      </c>
      <c r="J164" s="45">
        <f>Profiles!F52</f>
        <v>0</v>
      </c>
      <c r="K164" s="46">
        <f>IF(AND(H164&gt;0,K43&lt;Inputs!$B$15),K43*(1-H164),K43)</f>
        <v>1.7935342670401497</v>
      </c>
      <c r="L164" s="46">
        <f>IF(D164=C164,1,0)</f>
        <v>0</v>
      </c>
      <c r="M164" s="114">
        <f>IF(Inputs!$B$26="Yes",VLOOKUP(D164,VWR[#All],2,FALSE),1)</f>
        <v>1</v>
      </c>
      <c r="N164" s="114">
        <f>IF(Inputs!$B$27="Yes",VLOOKUP(D164,VVR[#All],2,FALSE),0)</f>
        <v>0</v>
      </c>
      <c r="O164" s="46">
        <f>(J43*Inputs!$B$18*Inputs!$B$41/$C$18)*M164</f>
        <v>0</v>
      </c>
      <c r="P164" s="46">
        <f t="shared" si="103"/>
        <v>1.7935342670401497</v>
      </c>
      <c r="Q164" s="46">
        <f>IF(O164&gt;K164,MIN((O164-K164),5),0)</f>
        <v>0</v>
      </c>
      <c r="R164" s="46">
        <f t="shared" si="105"/>
        <v>0</v>
      </c>
      <c r="S164" s="103">
        <f t="shared" si="106"/>
        <v>0</v>
      </c>
      <c r="T164" s="46">
        <f t="shared" si="107"/>
        <v>0</v>
      </c>
      <c r="U164" s="46">
        <f t="shared" si="93"/>
        <v>1.7935342670401497</v>
      </c>
      <c r="V164" s="46">
        <f t="shared" si="108"/>
        <v>0</v>
      </c>
      <c r="W164" s="46">
        <f t="shared" si="94"/>
        <v>0</v>
      </c>
      <c r="X164" s="103">
        <f t="shared" si="95"/>
        <v>0</v>
      </c>
      <c r="Y164" s="46">
        <f>X164*Inputs!$B$8</f>
        <v>0</v>
      </c>
      <c r="Z164" s="170">
        <f t="shared" si="96"/>
        <v>220</v>
      </c>
      <c r="AA164" s="104">
        <f t="shared" si="97"/>
        <v>0</v>
      </c>
      <c r="AB164" s="104">
        <f t="shared" si="98"/>
        <v>0</v>
      </c>
      <c r="AC164" s="46">
        <f t="shared" si="99"/>
        <v>1.7935342670401497</v>
      </c>
      <c r="AD164" s="46">
        <f t="shared" si="109"/>
        <v>0</v>
      </c>
      <c r="AE164" s="46">
        <f t="shared" si="100"/>
        <v>0</v>
      </c>
      <c r="AF164" s="103">
        <f>IF(S164&gt;0,(((R164/O164)*S164)*Inputs!$B$12)+((Q164/O164)*S164)*Inputs!$B$23,0)</f>
        <v>0</v>
      </c>
      <c r="AG164" s="103">
        <f>IF(AA164&gt;0,(((W164/T164)*AA164)*Inputs!$B$12)+((V164/T164)*AA164)*Inputs!$B$23,0)</f>
        <v>0</v>
      </c>
      <c r="AH164" s="331">
        <f>IF(AB164&gt;0,((J164*Inputs!$B$18*Inputs!$B$41/$C$18)-O164),0)</f>
        <v>0</v>
      </c>
      <c r="AI164" s="331">
        <f>IFERROR(((R164/O164)*AH164)*((Inputs!$B$12)+(((Q164/O164)*AH164)*Inputs!$B$23)),0)</f>
        <v>0</v>
      </c>
      <c r="AJ164" s="255"/>
      <c r="AK164" s="255"/>
      <c r="AL164" s="255">
        <f>IF(O164&gt;0,((R164/O164)*(O164-O43)*Inputs!$B$12)+((Q164/O164)*(O164-O43)*Inputs!$B$23),0)</f>
        <v>0</v>
      </c>
      <c r="AM164" s="103">
        <f>(K43-K164)*Inputs!$B$12</f>
        <v>5.159977591036416E-2</v>
      </c>
    </row>
    <row r="165" spans="2:39">
      <c r="B165" s="134">
        <v>0.875</v>
      </c>
      <c r="C165" s="125">
        <f>Profiles!E53</f>
        <v>255</v>
      </c>
      <c r="D165" s="126">
        <f>IF(C165&lt;Inputs!$B$7,Inputs!$B$6,C165)</f>
        <v>220</v>
      </c>
      <c r="E165" s="127">
        <f>IF(VLOOKUP(K44,Profiles!$B$58:$C$88,2,TRUE)&gt;0,VLOOKUP(K44,Profiles!$B$58:$C$88,2,TRUE),0)</f>
        <v>0.98</v>
      </c>
      <c r="F165" s="127">
        <f t="shared" si="101"/>
        <v>0.13725490196078433</v>
      </c>
      <c r="G165" s="127">
        <f>F165*Inputs!$B$11</f>
        <v>0.12490196078431375</v>
      </c>
      <c r="H165" s="127">
        <f t="shared" si="110"/>
        <v>0.10704281712685071</v>
      </c>
      <c r="I165" s="45">
        <f>Profiles!I27</f>
        <v>0.06</v>
      </c>
      <c r="J165" s="45">
        <f>Profiles!F53</f>
        <v>0</v>
      </c>
      <c r="K165" s="46">
        <f>IF(AND(H165&gt;0,K44&lt;Inputs!$B$15),K44*(1-H165),K44)</f>
        <v>1.3451507002801122</v>
      </c>
      <c r="L165" s="46">
        <f t="shared" si="102"/>
        <v>0</v>
      </c>
      <c r="M165" s="114">
        <f>IF(Inputs!$B$26="Yes",VLOOKUP(D165,VWR[#All],2,FALSE),1)</f>
        <v>1</v>
      </c>
      <c r="N165" s="114">
        <f>IF(Inputs!$B$27="Yes",VLOOKUP(D165,VVR[#All],2,FALSE),0)</f>
        <v>0</v>
      </c>
      <c r="O165" s="46">
        <f>(J44*Inputs!$B$18*Inputs!$B$41/$C$18)*M165</f>
        <v>0</v>
      </c>
      <c r="P165" s="46">
        <f t="shared" si="103"/>
        <v>1.3451507002801122</v>
      </c>
      <c r="Q165" s="46">
        <f t="shared" si="104"/>
        <v>0</v>
      </c>
      <c r="R165" s="46">
        <f t="shared" si="105"/>
        <v>0</v>
      </c>
      <c r="S165" s="103">
        <f t="shared" si="106"/>
        <v>0</v>
      </c>
      <c r="T165" s="46">
        <f t="shared" si="107"/>
        <v>0</v>
      </c>
      <c r="U165" s="46">
        <f t="shared" si="93"/>
        <v>1.3451507002801122</v>
      </c>
      <c r="V165" s="46">
        <f t="shared" si="108"/>
        <v>0</v>
      </c>
      <c r="W165" s="46">
        <f t="shared" si="94"/>
        <v>0</v>
      </c>
      <c r="X165" s="103">
        <f t="shared" si="95"/>
        <v>0</v>
      </c>
      <c r="Y165" s="46">
        <f>X165*Inputs!$B$8</f>
        <v>0</v>
      </c>
      <c r="Z165" s="170">
        <f t="shared" si="96"/>
        <v>220</v>
      </c>
      <c r="AA165" s="104">
        <f t="shared" si="97"/>
        <v>0</v>
      </c>
      <c r="AB165" s="104">
        <f t="shared" si="98"/>
        <v>0</v>
      </c>
      <c r="AC165" s="46">
        <f t="shared" si="99"/>
        <v>1.3451507002801122</v>
      </c>
      <c r="AD165" s="46">
        <f t="shared" si="109"/>
        <v>0</v>
      </c>
      <c r="AE165" s="46">
        <f t="shared" si="100"/>
        <v>0</v>
      </c>
      <c r="AF165" s="103">
        <f>IF(S165&gt;0,(((R165/O165)*S165)*Inputs!$B$12)+((Q165/O165)*S165)*Inputs!$B$23,0)</f>
        <v>0</v>
      </c>
      <c r="AG165" s="103">
        <f>IF(AA165&gt;0,(((W165/T165)*AA165)*Inputs!$B$12)+((V165/T165)*AA165)*Inputs!$B$23,0)</f>
        <v>0</v>
      </c>
      <c r="AH165" s="331">
        <f>IF(AB165&gt;0,((J165*Inputs!$B$18*Inputs!$B$41/$C$18)-O165),0)</f>
        <v>0</v>
      </c>
      <c r="AI165" s="331">
        <f>IFERROR(((R165/O165)*AH165)*((Inputs!$B$12)+(((Q165/O165)*AH165)*Inputs!$B$23)),0)</f>
        <v>0</v>
      </c>
      <c r="AJ165" s="255"/>
      <c r="AK165" s="255"/>
      <c r="AL165" s="255">
        <f>IF(O165&gt;0,((R165/O165)*(O165-O44)*Inputs!$B$12)+((Q165/O165)*(O165-O44)*Inputs!$B$23),0)</f>
        <v>0</v>
      </c>
      <c r="AM165" s="103">
        <f>(K44-K165)*Inputs!$B$12</f>
        <v>3.869983193277312E-2</v>
      </c>
    </row>
    <row r="166" spans="2:39">
      <c r="B166" s="134">
        <v>0.91666666666666696</v>
      </c>
      <c r="C166" s="125">
        <f>Profiles!E54</f>
        <v>255</v>
      </c>
      <c r="D166" s="126">
        <f>IF(C166&lt;Inputs!$B$7,Inputs!$B$6,C166)</f>
        <v>220</v>
      </c>
      <c r="E166" s="127">
        <f>IF(VLOOKUP(K45,Profiles!$B$58:$C$88,2,TRUE)&gt;0,VLOOKUP(K45,Profiles!$B$58:$C$88,2,TRUE),0)</f>
        <v>0.97</v>
      </c>
      <c r="F166" s="127">
        <f t="shared" si="101"/>
        <v>0.13725490196078433</v>
      </c>
      <c r="G166" s="127">
        <f>F166*Inputs!$B$11</f>
        <v>0.12490196078431375</v>
      </c>
      <c r="H166" s="127">
        <f t="shared" si="110"/>
        <v>9.783707297351929E-2</v>
      </c>
      <c r="I166" s="45">
        <f>Profiles!I28</f>
        <v>0.03</v>
      </c>
      <c r="J166" s="45">
        <f>Profiles!F54</f>
        <v>0</v>
      </c>
      <c r="K166" s="46">
        <f>IF(AND(H166&gt;0,K45&lt;Inputs!$B$15),K45*(1-H166),K45)</f>
        <v>0.67950911663634539</v>
      </c>
      <c r="L166" s="46">
        <f t="shared" si="102"/>
        <v>0</v>
      </c>
      <c r="M166" s="114">
        <f>IF(Inputs!$B$26="Yes",VLOOKUP(D166,VWR[#All],2,FALSE),1)</f>
        <v>1</v>
      </c>
      <c r="N166" s="114">
        <f>IF(Inputs!$B$27="Yes",VLOOKUP(D166,VVR[#All],2,FALSE),0)</f>
        <v>0</v>
      </c>
      <c r="O166" s="46">
        <f>(J45*Inputs!$B$18*Inputs!$B$41/$C$18)*M166</f>
        <v>0</v>
      </c>
      <c r="P166" s="46">
        <f t="shared" si="103"/>
        <v>0.67950911663634539</v>
      </c>
      <c r="Q166" s="46">
        <f t="shared" si="104"/>
        <v>0</v>
      </c>
      <c r="R166" s="46">
        <f t="shared" si="105"/>
        <v>0</v>
      </c>
      <c r="S166" s="103">
        <f t="shared" si="106"/>
        <v>0</v>
      </c>
      <c r="T166" s="46">
        <f t="shared" si="107"/>
        <v>0</v>
      </c>
      <c r="U166" s="46">
        <f t="shared" si="93"/>
        <v>0.67950911663634539</v>
      </c>
      <c r="V166" s="46">
        <f t="shared" si="108"/>
        <v>0</v>
      </c>
      <c r="W166" s="46">
        <f t="shared" si="94"/>
        <v>0</v>
      </c>
      <c r="X166" s="103">
        <f t="shared" si="95"/>
        <v>0</v>
      </c>
      <c r="Y166" s="46">
        <f>X166*Inputs!$B$8</f>
        <v>0</v>
      </c>
      <c r="Z166" s="170">
        <f t="shared" si="96"/>
        <v>220</v>
      </c>
      <c r="AA166" s="104">
        <f t="shared" si="97"/>
        <v>0</v>
      </c>
      <c r="AB166" s="104">
        <f t="shared" si="98"/>
        <v>0</v>
      </c>
      <c r="AC166" s="46">
        <f t="shared" si="99"/>
        <v>0.67950911663634539</v>
      </c>
      <c r="AD166" s="46">
        <f t="shared" si="109"/>
        <v>0</v>
      </c>
      <c r="AE166" s="46">
        <f t="shared" si="100"/>
        <v>0</v>
      </c>
      <c r="AF166" s="103">
        <f>IF(S166&gt;0,(((R166/O166)*S166)*Inputs!$B$12)+((Q166/O166)*S166)*Inputs!$B$23,0)</f>
        <v>0</v>
      </c>
      <c r="AG166" s="103">
        <f>IF(AA166&gt;0,(((W166/T166)*AA166)*Inputs!$B$12)+((V166/T166)*AA166)*Inputs!$B$23,0)</f>
        <v>0</v>
      </c>
      <c r="AH166" s="331">
        <f>IF(AB166&gt;0,((J166*Inputs!$B$18*Inputs!$B$41/$C$18)-O166),0)</f>
        <v>0</v>
      </c>
      <c r="AI166" s="331">
        <f>IFERROR(((R166/O166)*AH166)*((Inputs!$B$12)+(((Q166/O166)*AH166)*Inputs!$B$23)),0)</f>
        <v>0</v>
      </c>
      <c r="AJ166" s="255"/>
      <c r="AK166" s="255"/>
      <c r="AL166" s="255">
        <f>IF(O166&gt;0,((R166/O166)*(O166-O45)*Inputs!$B$12)+((Q166/O166)*(O166-O45)*Inputs!$B$23),0)</f>
        <v>0</v>
      </c>
      <c r="AM166" s="103">
        <f>(K45-K166)*Inputs!$B$12</f>
        <v>1.7685812007277129E-2</v>
      </c>
    </row>
    <row r="167" spans="2:39">
      <c r="B167" s="134">
        <v>0.95833333333333304</v>
      </c>
      <c r="C167" s="125">
        <f>Profiles!E55</f>
        <v>255</v>
      </c>
      <c r="D167" s="126">
        <f>IF(C167&lt;Inputs!$B$7,Inputs!$B$6,C167)</f>
        <v>220</v>
      </c>
      <c r="E167" s="127">
        <f>IF(VLOOKUP(K46,Profiles!$B$58:$C$88,2,TRUE)&gt;0,VLOOKUP(K46,Profiles!$B$58:$C$88,2,TRUE),0)</f>
        <v>0.92</v>
      </c>
      <c r="F167" s="127">
        <f t="shared" si="101"/>
        <v>0.13725490196078433</v>
      </c>
      <c r="G167" s="127">
        <f>F167*Inputs!$B$11</f>
        <v>0.12490196078431375</v>
      </c>
      <c r="H167" s="127">
        <f t="shared" si="110"/>
        <v>4.8806479113384538E-2</v>
      </c>
      <c r="I167" s="45">
        <f>Profiles!I29</f>
        <v>0.01</v>
      </c>
      <c r="J167" s="45">
        <f>Profiles!F55</f>
        <v>0</v>
      </c>
      <c r="K167" s="46">
        <f>IF(AND(H167&gt;0,K46&lt;Inputs!$B$15),K46*(1-H167),K46)</f>
        <v>0.23881298664393297</v>
      </c>
      <c r="L167" s="46">
        <f t="shared" si="102"/>
        <v>0</v>
      </c>
      <c r="M167" s="114">
        <f>IF(Inputs!$B$26="Yes",VLOOKUP(D167,VWR[#All],2,FALSE),1)</f>
        <v>1</v>
      </c>
      <c r="N167" s="114">
        <f>IF(Inputs!$B$27="Yes",VLOOKUP(D167,VVR[#All],2,FALSE),0)</f>
        <v>0</v>
      </c>
      <c r="O167" s="46">
        <f>(J46*Inputs!$B$18*Inputs!$B$41/$C$18)*M167</f>
        <v>0</v>
      </c>
      <c r="P167" s="46">
        <f t="shared" si="103"/>
        <v>0.23881298664393297</v>
      </c>
      <c r="Q167" s="46">
        <f t="shared" si="104"/>
        <v>0</v>
      </c>
      <c r="R167" s="46">
        <f t="shared" si="105"/>
        <v>0</v>
      </c>
      <c r="S167" s="103">
        <f t="shared" si="106"/>
        <v>0</v>
      </c>
      <c r="T167" s="46">
        <f t="shared" si="107"/>
        <v>0</v>
      </c>
      <c r="U167" s="46">
        <f t="shared" si="93"/>
        <v>0.23881298664393297</v>
      </c>
      <c r="V167" s="46">
        <f t="shared" si="108"/>
        <v>0</v>
      </c>
      <c r="W167" s="46">
        <f t="shared" si="94"/>
        <v>0</v>
      </c>
      <c r="X167" s="103">
        <f t="shared" si="95"/>
        <v>0</v>
      </c>
      <c r="Y167" s="46">
        <f>X167*Inputs!$B$8</f>
        <v>0</v>
      </c>
      <c r="Z167" s="170">
        <f t="shared" si="96"/>
        <v>220</v>
      </c>
      <c r="AA167" s="104">
        <f t="shared" si="97"/>
        <v>0</v>
      </c>
      <c r="AB167" s="104">
        <f t="shared" si="98"/>
        <v>0</v>
      </c>
      <c r="AC167" s="46">
        <f t="shared" si="99"/>
        <v>0.23881298664393297</v>
      </c>
      <c r="AD167" s="46">
        <f t="shared" si="109"/>
        <v>0</v>
      </c>
      <c r="AE167" s="46">
        <f t="shared" si="100"/>
        <v>0</v>
      </c>
      <c r="AF167" s="103">
        <f>IF(S167&gt;0,(((R167/O167)*S167)*Inputs!$B$12)+((Q167/O167)*S167)*Inputs!$B$23,0)</f>
        <v>0</v>
      </c>
      <c r="AG167" s="103">
        <f>IF(AA167&gt;0,(((W167/T167)*AA167)*Inputs!$B$12)+((V167/T167)*AA167)*Inputs!$B$23,0)</f>
        <v>0</v>
      </c>
      <c r="AH167" s="331">
        <f>IF(AB167&gt;0,((J167*Inputs!$B$18*Inputs!$B$41/$C$18)-O167),0)</f>
        <v>0</v>
      </c>
      <c r="AI167" s="331">
        <f>IFERROR(((R167/O167)*AH167)*((Inputs!$B$12)+(((Q167/O167)*AH167)*Inputs!$B$23)),0)</f>
        <v>0</v>
      </c>
      <c r="AJ167" s="255"/>
      <c r="AK167" s="255"/>
      <c r="AL167" s="255">
        <f>IF(O167&gt;0,((R167/O167)*(O167-O46)*Inputs!$B$12)+((Q167/O167)*(O167-O46)*Inputs!$B$23),0)</f>
        <v>0</v>
      </c>
      <c r="AM167" s="103">
        <f>(K46-K167)*Inputs!$B$12</f>
        <v>2.9408832054560997E-3</v>
      </c>
    </row>
    <row r="168" spans="2:39">
      <c r="S168" s="46"/>
    </row>
    <row r="169" spans="2:39" ht="18">
      <c r="B169" s="144" t="s">
        <v>103</v>
      </c>
      <c r="C169" s="144">
        <f>C48</f>
        <v>92</v>
      </c>
      <c r="D169" s="116"/>
      <c r="E169" s="116"/>
      <c r="F169" s="116"/>
      <c r="G169" s="116"/>
      <c r="H169" s="116"/>
      <c r="S169" s="46"/>
    </row>
    <row r="170" spans="2:39" ht="18">
      <c r="B170" s="49" t="s">
        <v>116</v>
      </c>
      <c r="C170" s="117"/>
      <c r="D170" s="117"/>
      <c r="E170" s="117"/>
      <c r="F170" s="117"/>
      <c r="G170" s="117"/>
      <c r="H170" s="117"/>
      <c r="I170" s="349" t="s">
        <v>70</v>
      </c>
      <c r="J170" s="350"/>
      <c r="K170" s="351" t="s">
        <v>71</v>
      </c>
      <c r="L170" s="351"/>
      <c r="M170" s="351"/>
      <c r="N170" s="351"/>
      <c r="O170" s="351"/>
      <c r="P170" s="351"/>
      <c r="Q170" s="351"/>
      <c r="R170" s="351"/>
      <c r="S170" s="352" t="s">
        <v>72</v>
      </c>
      <c r="T170" s="352"/>
      <c r="U170" s="352"/>
      <c r="V170" s="352"/>
      <c r="W170" s="352"/>
      <c r="X170" s="353" t="s">
        <v>73</v>
      </c>
      <c r="Y170" s="354"/>
      <c r="Z170" s="354"/>
      <c r="AA170" s="355"/>
      <c r="AB170" s="356" t="s">
        <v>105</v>
      </c>
      <c r="AC170" s="357"/>
      <c r="AD170" s="357"/>
      <c r="AE170" s="358"/>
      <c r="AF170" s="348" t="s">
        <v>111</v>
      </c>
      <c r="AG170" s="348"/>
      <c r="AH170" s="348"/>
      <c r="AI170" s="348"/>
      <c r="AJ170" s="348"/>
      <c r="AK170" s="348"/>
      <c r="AL170" s="348"/>
      <c r="AM170" s="348"/>
    </row>
    <row r="171" spans="2:39" ht="32.25" customHeight="1">
      <c r="B171" s="38" t="s">
        <v>76</v>
      </c>
      <c r="C171" s="129" t="s">
        <v>23</v>
      </c>
      <c r="D171" s="129" t="s">
        <v>24</v>
      </c>
      <c r="E171" s="129" t="s">
        <v>77</v>
      </c>
      <c r="F171" s="129" t="s">
        <v>78</v>
      </c>
      <c r="G171" s="129" t="s">
        <v>79</v>
      </c>
      <c r="H171" s="129" t="s">
        <v>80</v>
      </c>
      <c r="I171" s="39" t="s">
        <v>81</v>
      </c>
      <c r="J171" s="39" t="s">
        <v>82</v>
      </c>
      <c r="K171" s="39" t="s">
        <v>83</v>
      </c>
      <c r="L171" s="39" t="s">
        <v>112</v>
      </c>
      <c r="M171" s="39" t="s">
        <v>240</v>
      </c>
      <c r="N171" s="39" t="s">
        <v>248</v>
      </c>
      <c r="O171" s="39" t="s">
        <v>85</v>
      </c>
      <c r="P171" s="39" t="s">
        <v>86</v>
      </c>
      <c r="Q171" s="39" t="s">
        <v>87</v>
      </c>
      <c r="R171" s="39" t="s">
        <v>88</v>
      </c>
      <c r="S171" s="39" t="s">
        <v>89</v>
      </c>
      <c r="T171" s="39" t="s">
        <v>85</v>
      </c>
      <c r="U171" s="39" t="s">
        <v>86</v>
      </c>
      <c r="V171" s="39" t="s">
        <v>87</v>
      </c>
      <c r="W171" s="39" t="s">
        <v>88</v>
      </c>
      <c r="X171" s="39" t="s">
        <v>90</v>
      </c>
      <c r="Y171" s="39" t="s">
        <v>91</v>
      </c>
      <c r="Z171" s="39" t="s">
        <v>92</v>
      </c>
      <c r="AA171" s="39" t="s">
        <v>93</v>
      </c>
      <c r="AB171" s="39" t="s">
        <v>85</v>
      </c>
      <c r="AC171" s="39" t="s">
        <v>86</v>
      </c>
      <c r="AD171" s="39" t="s">
        <v>87</v>
      </c>
      <c r="AE171" s="39" t="s">
        <v>88</v>
      </c>
      <c r="AF171" s="39" t="s">
        <v>94</v>
      </c>
      <c r="AG171" s="39" t="s">
        <v>113</v>
      </c>
      <c r="AH171" s="39" t="s">
        <v>242</v>
      </c>
      <c r="AI171" s="39" t="s">
        <v>242</v>
      </c>
      <c r="AJ171" s="39" t="s">
        <v>243</v>
      </c>
      <c r="AK171" s="39" t="s">
        <v>243</v>
      </c>
      <c r="AL171" s="39" t="s">
        <v>114</v>
      </c>
      <c r="AM171" s="39" t="s">
        <v>115</v>
      </c>
    </row>
    <row r="172" spans="2:39">
      <c r="B172" s="38"/>
      <c r="C172" s="132" t="s">
        <v>98</v>
      </c>
      <c r="D172" s="130" t="s">
        <v>98</v>
      </c>
      <c r="E172" s="131"/>
      <c r="F172" s="131"/>
      <c r="G172" s="131"/>
      <c r="H172" s="131"/>
      <c r="I172" s="39" t="s">
        <v>99</v>
      </c>
      <c r="J172" s="39" t="s">
        <v>99</v>
      </c>
      <c r="K172" s="39" t="s">
        <v>100</v>
      </c>
      <c r="L172" s="39" t="s">
        <v>101</v>
      </c>
      <c r="M172" s="39" t="s">
        <v>101</v>
      </c>
      <c r="N172" s="39" t="s">
        <v>101</v>
      </c>
      <c r="O172" s="39" t="s">
        <v>100</v>
      </c>
      <c r="P172" s="39" t="s">
        <v>100</v>
      </c>
      <c r="Q172" s="39" t="s">
        <v>100</v>
      </c>
      <c r="R172" s="39" t="s">
        <v>100</v>
      </c>
      <c r="S172" s="39" t="s">
        <v>100</v>
      </c>
      <c r="T172" s="39" t="s">
        <v>100</v>
      </c>
      <c r="U172" s="39" t="s">
        <v>100</v>
      </c>
      <c r="V172" s="39" t="s">
        <v>100</v>
      </c>
      <c r="W172" s="39" t="s">
        <v>100</v>
      </c>
      <c r="X172" s="39" t="s">
        <v>102</v>
      </c>
      <c r="Y172" s="39" t="s">
        <v>98</v>
      </c>
      <c r="Z172" s="39" t="s">
        <v>98</v>
      </c>
      <c r="AA172" s="39" t="s">
        <v>100</v>
      </c>
      <c r="AB172" s="39" t="s">
        <v>100</v>
      </c>
      <c r="AC172" s="39" t="s">
        <v>100</v>
      </c>
      <c r="AD172" s="39" t="s">
        <v>100</v>
      </c>
      <c r="AE172" s="39" t="s">
        <v>100</v>
      </c>
      <c r="AF172" s="39" t="s">
        <v>67</v>
      </c>
      <c r="AG172" s="39" t="s">
        <v>67</v>
      </c>
      <c r="AH172" s="39" t="s">
        <v>100</v>
      </c>
      <c r="AI172" s="39" t="s">
        <v>67</v>
      </c>
      <c r="AJ172" s="39" t="s">
        <v>100</v>
      </c>
      <c r="AK172" s="39" t="s">
        <v>67</v>
      </c>
      <c r="AL172" s="39" t="s">
        <v>67</v>
      </c>
      <c r="AM172" s="39" t="s">
        <v>67</v>
      </c>
    </row>
    <row r="173" spans="2:39">
      <c r="B173" s="41" t="s">
        <v>20</v>
      </c>
      <c r="C173" s="119"/>
      <c r="D173" s="119"/>
      <c r="E173" s="119"/>
      <c r="F173" s="119"/>
      <c r="G173" s="119"/>
      <c r="H173" s="119"/>
      <c r="I173" s="42">
        <f t="shared" ref="I173:J173" si="111">SUM(I174:I197)</f>
        <v>1.0000000000000002</v>
      </c>
      <c r="J173" s="42">
        <f t="shared" si="111"/>
        <v>1</v>
      </c>
      <c r="K173" s="43">
        <f>SUM(K174:K197)</f>
        <v>20.067365403388177</v>
      </c>
      <c r="L173" s="155">
        <f>SUM(L174:L197)/24</f>
        <v>0</v>
      </c>
      <c r="M173" s="43"/>
      <c r="N173" s="340">
        <f>AVERAGE(N174:N197)</f>
        <v>0</v>
      </c>
      <c r="O173" s="43">
        <f>SUM(O174:O197)</f>
        <v>21.718518388848196</v>
      </c>
      <c r="P173" s="43">
        <f>SUM(P174:P197)</f>
        <v>13.790435366376524</v>
      </c>
      <c r="Q173" s="43">
        <f t="shared" ref="Q173" si="112">SUM(Q174:Q197)</f>
        <v>15.441588351836542</v>
      </c>
      <c r="R173" s="43">
        <f t="shared" ref="R173" si="113">SUM(R174:R197)</f>
        <v>6.2769300370116525</v>
      </c>
      <c r="S173" s="43">
        <f t="shared" ref="S173" si="114">SUM(S174:S197)</f>
        <v>0</v>
      </c>
      <c r="T173" s="43">
        <f>SUM(T174:T197)</f>
        <v>21.718518388848196</v>
      </c>
      <c r="U173" s="43">
        <f>SUM(U174:U197)</f>
        <v>13.790435366376524</v>
      </c>
      <c r="V173" s="43">
        <f>SUM(V174:V197)</f>
        <v>15.441588351836542</v>
      </c>
      <c r="W173" s="43">
        <f>SUM(W174:W197)</f>
        <v>6.2769300370116525</v>
      </c>
      <c r="X173" s="43">
        <f>AVERAGEIFS(X174:X197,V174:V197,"&gt;0")</f>
        <v>6.6992890069225606</v>
      </c>
      <c r="Y173" s="43">
        <f>AVERAGEIFS(Y174:Y197,V174:V197,"&gt;0")</f>
        <v>2.5457298226305727</v>
      </c>
      <c r="Z173" s="171">
        <f>AVERAGEIFS(Z174:Z197,V174:V197,"&gt;0")</f>
        <v>222.54572982263056</v>
      </c>
      <c r="AA173" s="43">
        <f t="shared" ref="AA173:AE173" si="115">SUM(AA174:AA197)</f>
        <v>0</v>
      </c>
      <c r="AB173" s="43">
        <f t="shared" si="115"/>
        <v>21.718518388848196</v>
      </c>
      <c r="AC173" s="43">
        <f t="shared" si="115"/>
        <v>13.790435366376524</v>
      </c>
      <c r="AD173" s="43">
        <f t="shared" si="115"/>
        <v>15.441588351836542</v>
      </c>
      <c r="AE173" s="43">
        <f t="shared" si="115"/>
        <v>6.2769300370116525</v>
      </c>
      <c r="AF173" s="43">
        <f t="shared" ref="AF173" si="116">SUM(AF174:AF197)</f>
        <v>0</v>
      </c>
      <c r="AG173" s="43">
        <f t="shared" ref="AG173:AK173" si="117">SUM(AG174:AG197)</f>
        <v>0</v>
      </c>
      <c r="AH173" s="43">
        <f t="shared" si="117"/>
        <v>0</v>
      </c>
      <c r="AI173" s="43">
        <f t="shared" si="117"/>
        <v>0</v>
      </c>
      <c r="AJ173" s="43">
        <f t="shared" si="117"/>
        <v>0</v>
      </c>
      <c r="AK173" s="43">
        <f t="shared" si="117"/>
        <v>0</v>
      </c>
      <c r="AL173" s="43">
        <f>SUM(AL174:AL197)</f>
        <v>1.0236860392039089</v>
      </c>
      <c r="AM173" s="43">
        <f t="shared" ref="AM173" si="118">SUM(AM174:AM197)</f>
        <v>0.53061491188248933</v>
      </c>
    </row>
    <row r="174" spans="2:39">
      <c r="B174" s="134">
        <v>0</v>
      </c>
      <c r="C174" s="123">
        <f>Profiles!E32</f>
        <v>255</v>
      </c>
      <c r="D174" s="126">
        <f>IF(C174&lt;Inputs!$B$7,Inputs!$B$6,C174)</f>
        <v>220</v>
      </c>
      <c r="E174" s="127">
        <f>IF(VLOOKUP(K53,Profiles!$B$58:$C$88,2,TRUE)&gt;0,VLOOKUP(K53,Profiles!$B$58:$C$88,2,TRUE),0)</f>
        <v>0.92</v>
      </c>
      <c r="F174" s="127">
        <f>(C174-D174)/C174</f>
        <v>0.13725490196078433</v>
      </c>
      <c r="G174" s="127">
        <f>F174*Inputs!$B$11</f>
        <v>0.12490196078431375</v>
      </c>
      <c r="H174" s="127">
        <f>IFERROR(((G174-1)/E174+1),0)</f>
        <v>4.8806479113384538E-2</v>
      </c>
      <c r="I174" s="45">
        <f>Profiles!I6</f>
        <v>0.01</v>
      </c>
      <c r="J174" s="45">
        <f>Profiles!F32</f>
        <v>0</v>
      </c>
      <c r="K174" s="46">
        <f>IF(AND(H174&gt;0,K53&lt;Inputs!$B$15),K53*(1-H174),K53)</f>
        <v>0.21190937395752249</v>
      </c>
      <c r="L174" s="46">
        <f>IF(D174=C174,1,0)</f>
        <v>0</v>
      </c>
      <c r="M174" s="114">
        <f>IF(Inputs!$B$26="Yes",VLOOKUP(D174,VWR[#All],2,FALSE),1)</f>
        <v>1</v>
      </c>
      <c r="N174" s="114">
        <f>IF(Inputs!$B$27="Yes",VLOOKUP(D174,VVR[#All],2,FALSE),0)</f>
        <v>0</v>
      </c>
      <c r="O174" s="46">
        <f>(J53*Inputs!$B$18*Inputs!$B$42/$C$48)*M174</f>
        <v>0</v>
      </c>
      <c r="P174" s="46">
        <f t="shared" ref="P174:P197" si="119">IF(O174&gt;K174,0,K174-O174)</f>
        <v>0.21190937395752249</v>
      </c>
      <c r="Q174" s="46">
        <f>IF(O174&gt;K174,MIN((O174-K174),5),0)</f>
        <v>0</v>
      </c>
      <c r="R174" s="46">
        <f t="shared" ref="R174:R197" si="120">IF(O174&gt;K174,K174,O174)</f>
        <v>0</v>
      </c>
      <c r="S174" s="103">
        <f t="shared" ref="S174:S197" si="121">IF(D174&gt;255,O174,0)</f>
        <v>0</v>
      </c>
      <c r="T174" s="46">
        <f>O174-S174</f>
        <v>0</v>
      </c>
      <c r="U174" s="46">
        <f t="shared" ref="U174:U197" si="122">IF(T174&gt;K174,0,K174-T174)</f>
        <v>0.21190937395752249</v>
      </c>
      <c r="V174" s="46">
        <f>IF(T174&gt;K174,MIN((T174-K174),5),0)</f>
        <v>0</v>
      </c>
      <c r="W174" s="46">
        <f t="shared" ref="W174:W197" si="123">IF(T174&gt;K174,K174,T174)</f>
        <v>0</v>
      </c>
      <c r="X174" s="103">
        <f t="shared" ref="X174:X197" si="124">V174*1000/C174</f>
        <v>0</v>
      </c>
      <c r="Y174" s="46">
        <f>X174*Inputs!$B$8</f>
        <v>0</v>
      </c>
      <c r="Z174" s="170">
        <f t="shared" ref="Z174:Z197" si="125">Y174+D174</f>
        <v>220</v>
      </c>
      <c r="AA174" s="104">
        <f>IF(AND(Z174&gt;=255,C174&lt;=Inputs!$B$7,V174&gt;0),(($AN$22-$AN$21)/($AM$22-$AM$21)*(Z174-$AM$21)+$AN$21)*T174,0)</f>
        <v>0</v>
      </c>
      <c r="AB174" s="104">
        <f t="shared" ref="AB174:AB197" si="126">T174-AA174</f>
        <v>0</v>
      </c>
      <c r="AC174" s="46">
        <f t="shared" ref="AC174:AC197" si="127">IF(AB174&gt;K174,0,K174-AB174)</f>
        <v>0.21190937395752249</v>
      </c>
      <c r="AD174" s="46">
        <f>IF(AB174&gt;K174,MIN((AB174-K174),5),0)</f>
        <v>0</v>
      </c>
      <c r="AE174" s="46">
        <f t="shared" ref="AE174:AE197" si="128">IF(AB174&gt;K174,K174,AB174)</f>
        <v>0</v>
      </c>
      <c r="AF174" s="103">
        <f>IF(S174&gt;0,(((R174/O174)*S174)*Inputs!$B$12)+((Q174/O174)*S174)*Inputs!$B$23,0)</f>
        <v>0</v>
      </c>
      <c r="AG174" s="103">
        <f>IF(AA174&gt;0,(((W174/T174)*AA174)*Inputs!$B$12)+((V174/T174)*AA174)*Inputs!$B$23,0)</f>
        <v>0</v>
      </c>
      <c r="AH174" s="331">
        <f>IF(AB174&gt;0,((J174*Inputs!$B$18*Inputs!$B$42/$C$48)-O174),0)</f>
        <v>0</v>
      </c>
      <c r="AI174" s="331">
        <f>IFERROR(((R174/O174)*AH174)*((Inputs!$B$12)+(((Q174/O174)*AH174)*Inputs!$B$23)),0)</f>
        <v>0</v>
      </c>
      <c r="AJ174" s="255"/>
      <c r="AK174" s="255"/>
      <c r="AL174" s="255">
        <f>IF(O174&gt;0,((R174/O174)*(O174-O53)*Inputs!$B$12)+((Q174/O174)*(O174-O53)*Inputs!$B$23),0)</f>
        <v>0</v>
      </c>
      <c r="AM174" s="103">
        <f>(K53-K174)*Inputs!$B$12</f>
        <v>2.6095763371511227E-3</v>
      </c>
    </row>
    <row r="175" spans="2:39">
      <c r="B175" s="134">
        <v>4.1666666666666664E-2</v>
      </c>
      <c r="C175" s="124">
        <f>Profiles!E33</f>
        <v>255</v>
      </c>
      <c r="D175" s="126">
        <f>IF(C175&lt;Inputs!$B$7,Inputs!$B$6,C175)</f>
        <v>220</v>
      </c>
      <c r="E175" s="127">
        <f>IF(VLOOKUP(K54,Profiles!$B$58:$C$88,2,TRUE)&gt;0,VLOOKUP(K54,Profiles!$B$58:$C$88,2,TRUE),0)</f>
        <v>0.92</v>
      </c>
      <c r="F175" s="127">
        <f t="shared" ref="F175:F197" si="129">(C175-D175)/C175</f>
        <v>0.13725490196078433</v>
      </c>
      <c r="G175" s="127">
        <f>F175*Inputs!$B$11</f>
        <v>0.12490196078431375</v>
      </c>
      <c r="H175" s="127">
        <f>IFERROR(((G175-1)/E175+1),0)</f>
        <v>4.8806479113384538E-2</v>
      </c>
      <c r="I175" s="45">
        <f>Profiles!I7</f>
        <v>0.01</v>
      </c>
      <c r="J175" s="45">
        <f>Profiles!F33</f>
        <v>0</v>
      </c>
      <c r="K175" s="46">
        <f>IF(AND(H175&gt;0,K54&lt;Inputs!$B$15),K54*(1-H175),K54)</f>
        <v>0.21190937395752249</v>
      </c>
      <c r="L175" s="46">
        <f t="shared" ref="L175:L197" si="130">IF(D175=C175,1,0)</f>
        <v>0</v>
      </c>
      <c r="M175" s="114">
        <f>IF(Inputs!$B$26="Yes",VLOOKUP(D175,VWR[#All],2,FALSE),1)</f>
        <v>1</v>
      </c>
      <c r="N175" s="114">
        <f>IF(Inputs!$B$27="Yes",VLOOKUP(D175,VVR[#All],2,FALSE),0)</f>
        <v>0</v>
      </c>
      <c r="O175" s="46">
        <f>(J54*Inputs!$B$18*Inputs!$B$42/$C$48)*M175</f>
        <v>0</v>
      </c>
      <c r="P175" s="46">
        <f t="shared" si="119"/>
        <v>0.21190937395752249</v>
      </c>
      <c r="Q175" s="46">
        <f t="shared" ref="Q175:Q197" si="131">IF(O175&gt;K175,MIN((O175-K175),5),0)</f>
        <v>0</v>
      </c>
      <c r="R175" s="46">
        <f t="shared" si="120"/>
        <v>0</v>
      </c>
      <c r="S175" s="103">
        <f t="shared" si="121"/>
        <v>0</v>
      </c>
      <c r="T175" s="46">
        <f t="shared" ref="T175:T197" si="132">O175-S175</f>
        <v>0</v>
      </c>
      <c r="U175" s="46">
        <f t="shared" si="122"/>
        <v>0.21190937395752249</v>
      </c>
      <c r="V175" s="46">
        <f t="shared" ref="V175:V197" si="133">IF(T175&gt;K175,MIN((T175-K175),5),0)</f>
        <v>0</v>
      </c>
      <c r="W175" s="46">
        <f t="shared" si="123"/>
        <v>0</v>
      </c>
      <c r="X175" s="103">
        <f t="shared" si="124"/>
        <v>0</v>
      </c>
      <c r="Y175" s="46">
        <f>X175*Inputs!$B$8</f>
        <v>0</v>
      </c>
      <c r="Z175" s="170">
        <f t="shared" si="125"/>
        <v>220</v>
      </c>
      <c r="AA175" s="104">
        <f>IF(AND(Z175&gt;=255,C175&lt;=Inputs!$B$7,V175&gt;0),(($AN$22-$AN$21)/($AM$22-$AM$21)*(Z175-$AM$21)+$AN$21)*O175,0)</f>
        <v>0</v>
      </c>
      <c r="AB175" s="104">
        <f t="shared" si="126"/>
        <v>0</v>
      </c>
      <c r="AC175" s="46">
        <f t="shared" si="127"/>
        <v>0.21190937395752249</v>
      </c>
      <c r="AD175" s="46">
        <f t="shared" ref="AD175:AD197" si="134">IF(AB175&gt;K175,MIN((AB175-K175),5),0)</f>
        <v>0</v>
      </c>
      <c r="AE175" s="46">
        <f t="shared" si="128"/>
        <v>0</v>
      </c>
      <c r="AF175" s="103">
        <f>IF(S175&gt;0,(((R175/O175)*S175)*Inputs!$B$12)+((Q175/O175)*S175)*Inputs!$B$23,0)</f>
        <v>0</v>
      </c>
      <c r="AG175" s="103">
        <f>IF(AA175&gt;0,(((W175/T175)*AA175)*Inputs!$B$12)+((V175/T175)*AA175)*Inputs!$B$23,0)</f>
        <v>0</v>
      </c>
      <c r="AH175" s="331">
        <f>IF(AB175&gt;0,((J175*Inputs!$B$18*Inputs!$B$42/$C$48)-O175),0)</f>
        <v>0</v>
      </c>
      <c r="AI175" s="331">
        <f>IFERROR(((R175/O175)*AH175)*((Inputs!$B$12)+(((Q175/O175)*AH175)*Inputs!$B$23)),0)</f>
        <v>0</v>
      </c>
      <c r="AJ175" s="255"/>
      <c r="AK175" s="255"/>
      <c r="AL175" s="255">
        <f>IF(O175&gt;0,((R175/O175)*(O175-O54)*Inputs!$B$12)+((Q175/O175)*(O175-O54)*Inputs!$B$23),0)</f>
        <v>0</v>
      </c>
      <c r="AM175" s="103">
        <f>(K54-K175)*Inputs!$B$12</f>
        <v>2.6095763371511227E-3</v>
      </c>
    </row>
    <row r="176" spans="2:39">
      <c r="B176" s="134">
        <v>8.3333333333333329E-2</v>
      </c>
      <c r="C176" s="125">
        <f>Profiles!E34</f>
        <v>255</v>
      </c>
      <c r="D176" s="126">
        <f>IF(C176&lt;Inputs!$B$7,Inputs!$B$6,C176)</f>
        <v>220</v>
      </c>
      <c r="E176" s="127">
        <f>IF(VLOOKUP(K55,Profiles!$B$58:$C$88,2,TRUE)&gt;0,VLOOKUP(K55,Profiles!$B$58:$C$88,2,TRUE),0)</f>
        <v>0.92</v>
      </c>
      <c r="F176" s="127">
        <f t="shared" si="129"/>
        <v>0.13725490196078433</v>
      </c>
      <c r="G176" s="127">
        <f>F176*Inputs!$B$11</f>
        <v>0.12490196078431375</v>
      </c>
      <c r="H176" s="127">
        <f t="shared" ref="H176:H197" si="135">IFERROR(((G176-1)/E176+1),0)</f>
        <v>4.8806479113384538E-2</v>
      </c>
      <c r="I176" s="45">
        <f>Profiles!I8</f>
        <v>0.01</v>
      </c>
      <c r="J176" s="45">
        <f>Profiles!F34</f>
        <v>0</v>
      </c>
      <c r="K176" s="46">
        <f>IF(AND(H176&gt;0,K55&lt;Inputs!$B$15),K55*(1-H176),K55)</f>
        <v>0.21190937395752249</v>
      </c>
      <c r="L176" s="46">
        <f t="shared" si="130"/>
        <v>0</v>
      </c>
      <c r="M176" s="114">
        <f>IF(Inputs!$B$26="Yes",VLOOKUP(D176,VWR[#All],2,FALSE),1)</f>
        <v>1</v>
      </c>
      <c r="N176" s="114">
        <f>IF(Inputs!$B$27="Yes",VLOOKUP(D176,VVR[#All],2,FALSE),0)</f>
        <v>0</v>
      </c>
      <c r="O176" s="46">
        <f>(J55*Inputs!$B$18*Inputs!$B$42/$C$48)*M176</f>
        <v>0</v>
      </c>
      <c r="P176" s="46">
        <f t="shared" si="119"/>
        <v>0.21190937395752249</v>
      </c>
      <c r="Q176" s="46">
        <f t="shared" si="131"/>
        <v>0</v>
      </c>
      <c r="R176" s="46">
        <f t="shared" si="120"/>
        <v>0</v>
      </c>
      <c r="S176" s="103">
        <f t="shared" si="121"/>
        <v>0</v>
      </c>
      <c r="T176" s="46">
        <f t="shared" si="132"/>
        <v>0</v>
      </c>
      <c r="U176" s="46">
        <f t="shared" si="122"/>
        <v>0.21190937395752249</v>
      </c>
      <c r="V176" s="46">
        <f t="shared" si="133"/>
        <v>0</v>
      </c>
      <c r="W176" s="46">
        <f t="shared" si="123"/>
        <v>0</v>
      </c>
      <c r="X176" s="103">
        <f t="shared" si="124"/>
        <v>0</v>
      </c>
      <c r="Y176" s="46">
        <f>X176*Inputs!$B$8</f>
        <v>0</v>
      </c>
      <c r="Z176" s="170">
        <f t="shared" si="125"/>
        <v>220</v>
      </c>
      <c r="AA176" s="104">
        <f>IF(AND(Z176&gt;=255,C176&lt;=Inputs!$B$7,V176&gt;0),(($AN$22-$AN$21)/($AM$22-$AM$21)*(Z176-$AM$21)+$AN$21)*O176,0)</f>
        <v>0</v>
      </c>
      <c r="AB176" s="104">
        <f t="shared" si="126"/>
        <v>0</v>
      </c>
      <c r="AC176" s="46">
        <f t="shared" si="127"/>
        <v>0.21190937395752249</v>
      </c>
      <c r="AD176" s="46">
        <f t="shared" si="134"/>
        <v>0</v>
      </c>
      <c r="AE176" s="46">
        <f t="shared" si="128"/>
        <v>0</v>
      </c>
      <c r="AF176" s="103">
        <f>IF(S176&gt;0,(((R176/O176)*S176)*Inputs!$B$12)+((Q176/O176)*S176)*Inputs!$B$23,0)</f>
        <v>0</v>
      </c>
      <c r="AG176" s="103">
        <f>IF(AA176&gt;0,(((W176/T176)*AA176)*Inputs!$B$12)+((V176/T176)*AA176)*Inputs!$B$23,0)</f>
        <v>0</v>
      </c>
      <c r="AH176" s="331">
        <f>IF(AB176&gt;0,((J176*Inputs!$B$18*Inputs!$B$42/$C$48)-O176),0)</f>
        <v>0</v>
      </c>
      <c r="AI176" s="331">
        <f>IFERROR(((R176/O176)*AH176)*((Inputs!$B$12)+(((Q176/O176)*AH176)*Inputs!$B$23)),0)</f>
        <v>0</v>
      </c>
      <c r="AJ176" s="255"/>
      <c r="AK176" s="255"/>
      <c r="AL176" s="255">
        <f>IF(O176&gt;0,((R176/O176)*(O176-O55)*Inputs!$B$12)+((Q176/O176)*(O176-O55)*Inputs!$B$23),0)</f>
        <v>0</v>
      </c>
      <c r="AM176" s="103">
        <f>(K55-K176)*Inputs!$B$12</f>
        <v>2.6095763371511227E-3</v>
      </c>
    </row>
    <row r="177" spans="2:39">
      <c r="B177" s="134">
        <v>0.125</v>
      </c>
      <c r="C177" s="125">
        <f>Profiles!E35</f>
        <v>255</v>
      </c>
      <c r="D177" s="126">
        <f>IF(C177&lt;Inputs!$B$7,Inputs!$B$6,C177)</f>
        <v>220</v>
      </c>
      <c r="E177" s="127">
        <f>IF(VLOOKUP(K56,Profiles!$B$58:$C$88,2,TRUE)&gt;0,VLOOKUP(K56,Profiles!$B$58:$C$88,2,TRUE),0)</f>
        <v>0.92</v>
      </c>
      <c r="F177" s="127">
        <f t="shared" si="129"/>
        <v>0.13725490196078433</v>
      </c>
      <c r="G177" s="127">
        <f>F177*Inputs!$B$11</f>
        <v>0.12490196078431375</v>
      </c>
      <c r="H177" s="127">
        <f t="shared" si="135"/>
        <v>4.8806479113384538E-2</v>
      </c>
      <c r="I177" s="45">
        <f>Profiles!I9</f>
        <v>0.01</v>
      </c>
      <c r="J177" s="45">
        <f>Profiles!F35</f>
        <v>0</v>
      </c>
      <c r="K177" s="46">
        <f>IF(AND(H177&gt;0,K56&lt;Inputs!$B$15),K56*(1-H177),K56)</f>
        <v>0.21190937395752249</v>
      </c>
      <c r="L177" s="46">
        <f t="shared" si="130"/>
        <v>0</v>
      </c>
      <c r="M177" s="114">
        <f>IF(Inputs!$B$26="Yes",VLOOKUP(D177,VWR[#All],2,FALSE),1)</f>
        <v>1</v>
      </c>
      <c r="N177" s="114">
        <f>IF(Inputs!$B$27="Yes",VLOOKUP(D177,VVR[#All],2,FALSE),0)</f>
        <v>0</v>
      </c>
      <c r="O177" s="46">
        <f>(J56*Inputs!$B$18*Inputs!$B$42/$C$48)*M177</f>
        <v>0</v>
      </c>
      <c r="P177" s="46">
        <f t="shared" si="119"/>
        <v>0.21190937395752249</v>
      </c>
      <c r="Q177" s="46">
        <f t="shared" si="131"/>
        <v>0</v>
      </c>
      <c r="R177" s="46">
        <f t="shared" si="120"/>
        <v>0</v>
      </c>
      <c r="S177" s="103">
        <f t="shared" si="121"/>
        <v>0</v>
      </c>
      <c r="T177" s="46">
        <f t="shared" si="132"/>
        <v>0</v>
      </c>
      <c r="U177" s="46">
        <f t="shared" si="122"/>
        <v>0.21190937395752249</v>
      </c>
      <c r="V177" s="46">
        <f t="shared" si="133"/>
        <v>0</v>
      </c>
      <c r="W177" s="46">
        <f t="shared" si="123"/>
        <v>0</v>
      </c>
      <c r="X177" s="103">
        <f t="shared" si="124"/>
        <v>0</v>
      </c>
      <c r="Y177" s="46">
        <f>X177*Inputs!$B$8</f>
        <v>0</v>
      </c>
      <c r="Z177" s="170">
        <f t="shared" si="125"/>
        <v>220</v>
      </c>
      <c r="AA177" s="104">
        <f>IF(AND(Z177&gt;=255,C177&lt;=Inputs!$B$7,V177&gt;0),(($AN$22-$AN$21)/($AM$22-$AM$21)*(Z177-$AM$21)+$AN$21)*O177,0)</f>
        <v>0</v>
      </c>
      <c r="AB177" s="104">
        <f t="shared" si="126"/>
        <v>0</v>
      </c>
      <c r="AC177" s="46">
        <f t="shared" si="127"/>
        <v>0.21190937395752249</v>
      </c>
      <c r="AD177" s="46">
        <f t="shared" si="134"/>
        <v>0</v>
      </c>
      <c r="AE177" s="46">
        <f t="shared" si="128"/>
        <v>0</v>
      </c>
      <c r="AF177" s="103">
        <f>IF(S177&gt;0,(((R177/O177)*S177)*Inputs!$B$12)+((Q177/O177)*S177)*Inputs!$B$23,0)</f>
        <v>0</v>
      </c>
      <c r="AG177" s="103">
        <f>IF(AA177&gt;0,(((W177/T177)*AA177)*Inputs!$B$12)+((V177/T177)*AA177)*Inputs!$B$23,0)</f>
        <v>0</v>
      </c>
      <c r="AH177" s="331">
        <f>IF(AB177&gt;0,((J177*Inputs!$B$18*Inputs!$B$42/$C$48)-O177),0)</f>
        <v>0</v>
      </c>
      <c r="AI177" s="331">
        <f>IFERROR(((R177/O177)*AH177)*((Inputs!$B$12)+(((Q177/O177)*AH177)*Inputs!$B$23)),0)</f>
        <v>0</v>
      </c>
      <c r="AJ177" s="255"/>
      <c r="AK177" s="255"/>
      <c r="AL177" s="255">
        <f>IF(O177&gt;0,((R177/O177)*(O177-O56)*Inputs!$B$12)+((Q177/O177)*(O177-O56)*Inputs!$B$23),0)</f>
        <v>0</v>
      </c>
      <c r="AM177" s="103">
        <f>(K56-K177)*Inputs!$B$12</f>
        <v>2.6095763371511227E-3</v>
      </c>
    </row>
    <row r="178" spans="2:39">
      <c r="B178" s="134">
        <v>0.16666666666666699</v>
      </c>
      <c r="C178" s="125">
        <f>Profiles!E36</f>
        <v>255</v>
      </c>
      <c r="D178" s="126">
        <f>IF(C178&lt;Inputs!$B$7,Inputs!$B$6,C178)</f>
        <v>220</v>
      </c>
      <c r="E178" s="127">
        <f>IF(VLOOKUP(K57,Profiles!$B$58:$C$88,2,TRUE)&gt;0,VLOOKUP(K57,Profiles!$B$58:$C$88,2,TRUE),0)</f>
        <v>0.92</v>
      </c>
      <c r="F178" s="127">
        <f t="shared" si="129"/>
        <v>0.13725490196078433</v>
      </c>
      <c r="G178" s="127">
        <f>F178*Inputs!$B$11</f>
        <v>0.12490196078431375</v>
      </c>
      <c r="H178" s="127">
        <f t="shared" si="135"/>
        <v>4.8806479113384538E-2</v>
      </c>
      <c r="I178" s="45">
        <f>Profiles!I10</f>
        <v>0.01</v>
      </c>
      <c r="J178" s="45">
        <f>Profiles!F36</f>
        <v>0</v>
      </c>
      <c r="K178" s="46">
        <f>IF(AND(H178&gt;0,K57&lt;Inputs!$B$15),K57*(1-H178),K57)</f>
        <v>0.21190937395752249</v>
      </c>
      <c r="L178" s="46">
        <f t="shared" si="130"/>
        <v>0</v>
      </c>
      <c r="M178" s="114">
        <f>IF(Inputs!$B$26="Yes",VLOOKUP(D178,VWR[#All],2,FALSE),1)</f>
        <v>1</v>
      </c>
      <c r="N178" s="114">
        <f>IF(Inputs!$B$27="Yes",VLOOKUP(D178,VVR[#All],2,FALSE),0)</f>
        <v>0</v>
      </c>
      <c r="O178" s="46">
        <f>(J57*Inputs!$B$18*Inputs!$B$42/$C$48)*M178</f>
        <v>0</v>
      </c>
      <c r="P178" s="46">
        <f t="shared" si="119"/>
        <v>0.21190937395752249</v>
      </c>
      <c r="Q178" s="46">
        <f t="shared" si="131"/>
        <v>0</v>
      </c>
      <c r="R178" s="46">
        <f t="shared" si="120"/>
        <v>0</v>
      </c>
      <c r="S178" s="103">
        <f t="shared" si="121"/>
        <v>0</v>
      </c>
      <c r="T178" s="46">
        <f t="shared" si="132"/>
        <v>0</v>
      </c>
      <c r="U178" s="46">
        <f t="shared" si="122"/>
        <v>0.21190937395752249</v>
      </c>
      <c r="V178" s="46">
        <f t="shared" si="133"/>
        <v>0</v>
      </c>
      <c r="W178" s="46">
        <f t="shared" si="123"/>
        <v>0</v>
      </c>
      <c r="X178" s="103">
        <f t="shared" si="124"/>
        <v>0</v>
      </c>
      <c r="Y178" s="46">
        <f>X178*Inputs!$B$8</f>
        <v>0</v>
      </c>
      <c r="Z178" s="170">
        <f t="shared" si="125"/>
        <v>220</v>
      </c>
      <c r="AA178" s="104">
        <f>IF(AND(Z178&gt;=255,C178&lt;=Inputs!$B$7,V178&gt;0),(($AN$22-$AN$21)/($AM$22-$AM$21)*(Z178-$AM$21)+$AN$21)*O178,0)</f>
        <v>0</v>
      </c>
      <c r="AB178" s="104">
        <f t="shared" si="126"/>
        <v>0</v>
      </c>
      <c r="AC178" s="46">
        <f t="shared" si="127"/>
        <v>0.21190937395752249</v>
      </c>
      <c r="AD178" s="46">
        <f t="shared" si="134"/>
        <v>0</v>
      </c>
      <c r="AE178" s="46">
        <f t="shared" si="128"/>
        <v>0</v>
      </c>
      <c r="AF178" s="103">
        <f>IF(S178&gt;0,(((R178/O178)*S178)*Inputs!$B$12)+((Q178/O178)*S178)*Inputs!$B$23,0)</f>
        <v>0</v>
      </c>
      <c r="AG178" s="103">
        <f>IF(AA178&gt;0,(((W178/T178)*AA178)*Inputs!$B$12)+((V178/T178)*AA178)*Inputs!$B$23,0)</f>
        <v>0</v>
      </c>
      <c r="AH178" s="331">
        <f>IF(AB178&gt;0,((J178*Inputs!$B$18*Inputs!$B$42/$C$48)-O178),0)</f>
        <v>0</v>
      </c>
      <c r="AI178" s="331">
        <f>IFERROR(((R178/O178)*AH178)*((Inputs!$B$12)+(((Q178/O178)*AH178)*Inputs!$B$23)),0)</f>
        <v>0</v>
      </c>
      <c r="AJ178" s="255"/>
      <c r="AK178" s="255"/>
      <c r="AL178" s="255">
        <f>IF(O178&gt;0,((R178/O178)*(O178-O57)*Inputs!$B$12)+((Q178/O178)*(O178-O57)*Inputs!$B$23),0)</f>
        <v>0</v>
      </c>
      <c r="AM178" s="103">
        <f>(K57-K178)*Inputs!$B$12</f>
        <v>2.6095763371511227E-3</v>
      </c>
    </row>
    <row r="179" spans="2:39">
      <c r="B179" s="134">
        <v>0.20833333333333301</v>
      </c>
      <c r="C179" s="125">
        <f>Profiles!E37</f>
        <v>253</v>
      </c>
      <c r="D179" s="126">
        <f>IF(C179&lt;Inputs!$B$7,Inputs!$B$6,C179)</f>
        <v>220</v>
      </c>
      <c r="E179" s="127">
        <f>IF(VLOOKUP(K58,Profiles!$B$58:$C$88,2,TRUE)&gt;0,VLOOKUP(K58,Profiles!$B$58:$C$88,2,TRUE),0)</f>
        <v>0.92</v>
      </c>
      <c r="F179" s="127">
        <f t="shared" si="129"/>
        <v>0.13043478260869565</v>
      </c>
      <c r="G179" s="127">
        <f>F179*Inputs!$B$11</f>
        <v>0.11869565217391305</v>
      </c>
      <c r="H179" s="127">
        <f t="shared" si="135"/>
        <v>4.2060491493383867E-2</v>
      </c>
      <c r="I179" s="45">
        <f>Profiles!I11</f>
        <v>0.01</v>
      </c>
      <c r="J179" s="45">
        <f>Profiles!F37</f>
        <v>0</v>
      </c>
      <c r="K179" s="46">
        <f>IF(AND(H179&gt;0,K58&lt;Inputs!$B$15),K58*(1-H179),K58)</f>
        <v>0.21341226267773483</v>
      </c>
      <c r="L179" s="46">
        <f t="shared" si="130"/>
        <v>0</v>
      </c>
      <c r="M179" s="114">
        <f>IF(Inputs!$B$26="Yes",VLOOKUP(D179,VWR[#All],2,FALSE),1)</f>
        <v>1</v>
      </c>
      <c r="N179" s="114">
        <f>IF(Inputs!$B$27="Yes",VLOOKUP(D179,VVR[#All],2,FALSE),0)</f>
        <v>0</v>
      </c>
      <c r="O179" s="46">
        <f>(J58*Inputs!$B$18*Inputs!$B$42/$C$48)*M179</f>
        <v>0</v>
      </c>
      <c r="P179" s="46">
        <f t="shared" si="119"/>
        <v>0.21341226267773483</v>
      </c>
      <c r="Q179" s="46">
        <f t="shared" si="131"/>
        <v>0</v>
      </c>
      <c r="R179" s="46">
        <f t="shared" si="120"/>
        <v>0</v>
      </c>
      <c r="S179" s="103">
        <f t="shared" si="121"/>
        <v>0</v>
      </c>
      <c r="T179" s="46">
        <f t="shared" si="132"/>
        <v>0</v>
      </c>
      <c r="U179" s="46">
        <f t="shared" si="122"/>
        <v>0.21341226267773483</v>
      </c>
      <c r="V179" s="46">
        <f t="shared" si="133"/>
        <v>0</v>
      </c>
      <c r="W179" s="46">
        <f t="shared" si="123"/>
        <v>0</v>
      </c>
      <c r="X179" s="103">
        <f t="shared" si="124"/>
        <v>0</v>
      </c>
      <c r="Y179" s="46">
        <f>X179*Inputs!$B$8</f>
        <v>0</v>
      </c>
      <c r="Z179" s="170">
        <f t="shared" si="125"/>
        <v>220</v>
      </c>
      <c r="AA179" s="104">
        <f>IF(AND(Z179&gt;=255,C179&lt;=Inputs!$B$7,V179&gt;0),(($AN$22-$AN$21)/($AM$22-$AM$21)*(Z179-$AM$21)+$AN$21)*O179,0)</f>
        <v>0</v>
      </c>
      <c r="AB179" s="104">
        <f t="shared" si="126"/>
        <v>0</v>
      </c>
      <c r="AC179" s="46">
        <f t="shared" si="127"/>
        <v>0.21341226267773483</v>
      </c>
      <c r="AD179" s="46">
        <f t="shared" si="134"/>
        <v>0</v>
      </c>
      <c r="AE179" s="46">
        <f t="shared" si="128"/>
        <v>0</v>
      </c>
      <c r="AF179" s="103">
        <f>IF(S179&gt;0,(((R179/O179)*S179)*Inputs!$B$12)+((Q179/O179)*S179)*Inputs!$B$23,0)</f>
        <v>0</v>
      </c>
      <c r="AG179" s="103">
        <f>IF(AA179&gt;0,(((W179/T179)*AA179)*Inputs!$B$12)+((V179/T179)*AA179)*Inputs!$B$23,0)</f>
        <v>0</v>
      </c>
      <c r="AH179" s="331">
        <f>IF(AB179&gt;0,((J179*Inputs!$B$18*Inputs!$B$42/$C$48)-O179),0)</f>
        <v>0</v>
      </c>
      <c r="AI179" s="331">
        <f>IFERROR(((R179/O179)*AH179)*((Inputs!$B$12)+(((Q179/O179)*AH179)*Inputs!$B$23)),0)</f>
        <v>0</v>
      </c>
      <c r="AJ179" s="255"/>
      <c r="AK179" s="255"/>
      <c r="AL179" s="255">
        <f>IF(O179&gt;0,((R179/O179)*(O179-O58)*Inputs!$B$12)+((Q179/O179)*(O179-O58)*Inputs!$B$23),0)</f>
        <v>0</v>
      </c>
      <c r="AM179" s="103">
        <f>(K58-K179)*Inputs!$B$12</f>
        <v>2.2488830443001605E-3</v>
      </c>
    </row>
    <row r="180" spans="2:39">
      <c r="B180" s="134">
        <v>0.25</v>
      </c>
      <c r="C180" s="125">
        <f>Profiles!E38</f>
        <v>254</v>
      </c>
      <c r="D180" s="126">
        <f>IF(C180&lt;Inputs!$B$7,Inputs!$B$6,C180)</f>
        <v>220</v>
      </c>
      <c r="E180" s="127">
        <f>IF(VLOOKUP(K59,Profiles!$B$58:$C$88,2,TRUE)&gt;0,VLOOKUP(K59,Profiles!$B$58:$C$88,2,TRUE),0)</f>
        <v>0.98</v>
      </c>
      <c r="F180" s="127">
        <f t="shared" si="129"/>
        <v>0.13385826771653545</v>
      </c>
      <c r="G180" s="127">
        <f>F180*Inputs!$B$11</f>
        <v>0.12181102362204727</v>
      </c>
      <c r="H180" s="127">
        <f t="shared" si="135"/>
        <v>0.10388879961433395</v>
      </c>
      <c r="I180" s="45">
        <f>Profiles!I12</f>
        <v>0.1</v>
      </c>
      <c r="J180" s="45">
        <f>Profiles!F38</f>
        <v>0</v>
      </c>
      <c r="K180" s="46">
        <f>IF(AND(H180&gt;0,K59&lt;Inputs!$B$15),K59*(1-H180),K59)</f>
        <v>1.99637990903311</v>
      </c>
      <c r="L180" s="46">
        <f t="shared" si="130"/>
        <v>0</v>
      </c>
      <c r="M180" s="114">
        <f>IF(Inputs!$B$26="Yes",VLOOKUP(D180,VWR[#All],2,FALSE),1)</f>
        <v>1</v>
      </c>
      <c r="N180" s="114">
        <f>IF(Inputs!$B$27="Yes",VLOOKUP(D180,VVR[#All],2,FALSE),0)</f>
        <v>0</v>
      </c>
      <c r="O180" s="46">
        <f>(J59*Inputs!$B$18*Inputs!$B$42/$C$48)*M180</f>
        <v>0</v>
      </c>
      <c r="P180" s="46">
        <f t="shared" si="119"/>
        <v>1.99637990903311</v>
      </c>
      <c r="Q180" s="46">
        <f t="shared" si="131"/>
        <v>0</v>
      </c>
      <c r="R180" s="46">
        <f t="shared" si="120"/>
        <v>0</v>
      </c>
      <c r="S180" s="103">
        <f t="shared" si="121"/>
        <v>0</v>
      </c>
      <c r="T180" s="46">
        <f t="shared" si="132"/>
        <v>0</v>
      </c>
      <c r="U180" s="46">
        <f t="shared" si="122"/>
        <v>1.99637990903311</v>
      </c>
      <c r="V180" s="46">
        <f t="shared" si="133"/>
        <v>0</v>
      </c>
      <c r="W180" s="46">
        <f t="shared" si="123"/>
        <v>0</v>
      </c>
      <c r="X180" s="103">
        <f t="shared" si="124"/>
        <v>0</v>
      </c>
      <c r="Y180" s="46">
        <f>X180*Inputs!$B$8</f>
        <v>0</v>
      </c>
      <c r="Z180" s="170">
        <f t="shared" si="125"/>
        <v>220</v>
      </c>
      <c r="AA180" s="104">
        <f>IF(AND(Z180&gt;=255,C180&lt;=Inputs!$B$7,V180&gt;0),(($AN$22-$AN$21)/($AM$22-$AM$21)*(Z180-$AM$21)+$AN$21)*O180,0)</f>
        <v>0</v>
      </c>
      <c r="AB180" s="104">
        <f t="shared" si="126"/>
        <v>0</v>
      </c>
      <c r="AC180" s="46">
        <f t="shared" si="127"/>
        <v>1.99637990903311</v>
      </c>
      <c r="AD180" s="46">
        <f t="shared" si="134"/>
        <v>0</v>
      </c>
      <c r="AE180" s="46">
        <f t="shared" si="128"/>
        <v>0</v>
      </c>
      <c r="AF180" s="103">
        <f>IF(S180&gt;0,(((R180/O180)*S180)*Inputs!$B$12)+((Q180/O180)*S180)*Inputs!$B$23,0)</f>
        <v>0</v>
      </c>
      <c r="AG180" s="103">
        <f>IF(AA180&gt;0,(((W180/T180)*AA180)*Inputs!$B$12)+((V180/T180)*AA180)*Inputs!$B$23,0)</f>
        <v>0</v>
      </c>
      <c r="AH180" s="331">
        <f>IF(AB180&gt;0,((J180*Inputs!$B$18*Inputs!$B$42/$C$48)-O180),0)</f>
        <v>0</v>
      </c>
      <c r="AI180" s="331">
        <f>IFERROR(((R180/O180)*AH180)*((Inputs!$B$12)+(((Q180/O180)*AH180)*Inputs!$B$23)),0)</f>
        <v>0</v>
      </c>
      <c r="AJ180" s="255"/>
      <c r="AK180" s="255"/>
      <c r="AL180" s="255">
        <f>IF(O180&gt;0,((R180/O180)*(O180-O59)*Inputs!$B$12)+((Q180/O180)*(O180-O59)*Inputs!$B$23),0)</f>
        <v>0</v>
      </c>
      <c r="AM180" s="103">
        <f>(K59-K180)*Inputs!$B$12</f>
        <v>5.5547082701618837E-2</v>
      </c>
    </row>
    <row r="181" spans="2:39">
      <c r="B181" s="134">
        <v>0.29166666666666702</v>
      </c>
      <c r="C181" s="125">
        <f>Profiles!E39</f>
        <v>255</v>
      </c>
      <c r="D181" s="126">
        <f>IF(C181&lt;Inputs!$B$7,Inputs!$B$6,C181)</f>
        <v>220</v>
      </c>
      <c r="E181" s="127">
        <f>IF(VLOOKUP(K60,Profiles!$B$58:$C$88,2,TRUE)&gt;0,VLOOKUP(K60,Profiles!$B$58:$C$88,2,TRUE),0)</f>
        <v>0.98</v>
      </c>
      <c r="F181" s="127">
        <f t="shared" si="129"/>
        <v>0.13725490196078433</v>
      </c>
      <c r="G181" s="127">
        <f>F181*Inputs!$B$11</f>
        <v>0.12490196078431375</v>
      </c>
      <c r="H181" s="127">
        <f>IFERROR(((G181-1)/E181+1),0)</f>
        <v>0.10704281712685071</v>
      </c>
      <c r="I181" s="45">
        <f>Profiles!I13</f>
        <v>0.12</v>
      </c>
      <c r="J181" s="45">
        <f>Profiles!F39</f>
        <v>0.02</v>
      </c>
      <c r="K181" s="46">
        <f>IF(AND(H181&gt;0,K60&lt;Inputs!$B$15),K60*(1-H181),K60)</f>
        <v>2.3872239678480085</v>
      </c>
      <c r="L181" s="46">
        <f t="shared" si="130"/>
        <v>0</v>
      </c>
      <c r="M181" s="114">
        <f>IF(Inputs!$B$26="Yes",VLOOKUP(D181,VWR[#All],2,FALSE),1)</f>
        <v>1</v>
      </c>
      <c r="N181" s="114">
        <f>IF(Inputs!$B$27="Yes",VLOOKUP(D181,VVR[#All],2,FALSE),0)</f>
        <v>0</v>
      </c>
      <c r="O181" s="46">
        <f>(J60*Inputs!$B$18*Inputs!$B$42/$C$48)*M181</f>
        <v>0.43437036777696386</v>
      </c>
      <c r="P181" s="46">
        <f t="shared" si="119"/>
        <v>1.9528536000710446</v>
      </c>
      <c r="Q181" s="46">
        <f t="shared" si="131"/>
        <v>0</v>
      </c>
      <c r="R181" s="46">
        <f t="shared" si="120"/>
        <v>0.43437036777696386</v>
      </c>
      <c r="S181" s="103">
        <f t="shared" si="121"/>
        <v>0</v>
      </c>
      <c r="T181" s="46">
        <f t="shared" si="132"/>
        <v>0.43437036777696386</v>
      </c>
      <c r="U181" s="46">
        <f t="shared" si="122"/>
        <v>1.9528536000710446</v>
      </c>
      <c r="V181" s="46">
        <f t="shared" si="133"/>
        <v>0</v>
      </c>
      <c r="W181" s="46">
        <f t="shared" si="123"/>
        <v>0.43437036777696386</v>
      </c>
      <c r="X181" s="103">
        <f t="shared" si="124"/>
        <v>0</v>
      </c>
      <c r="Y181" s="46">
        <f>X181*Inputs!$B$8</f>
        <v>0</v>
      </c>
      <c r="Z181" s="170">
        <f t="shared" si="125"/>
        <v>220</v>
      </c>
      <c r="AA181" s="104">
        <f>IF(AND(Z181&gt;=255,C181&lt;=Inputs!$B$7,V181&gt;0),(($AN$22-$AN$21)/($AM$22-$AM$21)*(Z181-$AM$21)+$AN$21)*O181,0)</f>
        <v>0</v>
      </c>
      <c r="AB181" s="104">
        <f t="shared" si="126"/>
        <v>0.43437036777696386</v>
      </c>
      <c r="AC181" s="46">
        <f t="shared" si="127"/>
        <v>1.9528536000710446</v>
      </c>
      <c r="AD181" s="46">
        <f t="shared" si="134"/>
        <v>0</v>
      </c>
      <c r="AE181" s="46">
        <f t="shared" si="128"/>
        <v>0.43437036777696386</v>
      </c>
      <c r="AF181" s="103">
        <f>IF(S181&gt;0,(((R181/O181)*S181)*Inputs!$B$12)+((Q181/O181)*S181)*Inputs!$B$23,0)</f>
        <v>0</v>
      </c>
      <c r="AG181" s="103">
        <f>IF(AA181&gt;0,(((W181/T181)*AA181)*Inputs!$B$12)+((V181/T181)*AA181)*Inputs!$B$23,0)</f>
        <v>0</v>
      </c>
      <c r="AH181" s="331">
        <f>IF(AB181&gt;0,((J181*Inputs!$B$18*Inputs!$B$42/$C$48)-O181),0)</f>
        <v>0</v>
      </c>
      <c r="AI181" s="331">
        <f>IFERROR(((R181/O181)*AH181)*((Inputs!$B$12)+(((Q181/O181)*AH181)*Inputs!$B$23)),0)</f>
        <v>0</v>
      </c>
      <c r="AJ181" s="255"/>
      <c r="AK181" s="255"/>
      <c r="AL181" s="255">
        <f>IF(O181&gt;0,((R181/O181)*(O181-O60)*Inputs!$B$12)+((Q181/O181)*(O181-O60)*Inputs!$B$23),0)</f>
        <v>2.7799703537725685E-2</v>
      </c>
      <c r="AM181" s="103">
        <f>(K60-K181)*Inputs!$B$12</f>
        <v>6.8680160759956116E-2</v>
      </c>
    </row>
    <row r="182" spans="2:39">
      <c r="B182" s="134">
        <v>0.33333333333333298</v>
      </c>
      <c r="C182" s="125">
        <f>Profiles!E40</f>
        <v>255</v>
      </c>
      <c r="D182" s="126">
        <f>IF(C182&lt;Inputs!$B$7,Inputs!$B$6,C182)</f>
        <v>220</v>
      </c>
      <c r="E182" s="127">
        <f>IF(VLOOKUP(K61,Profiles!$B$58:$C$88,2,TRUE)&gt;0,VLOOKUP(K61,Profiles!$B$58:$C$88,2,TRUE),0)</f>
        <v>0.97</v>
      </c>
      <c r="F182" s="127">
        <f t="shared" si="129"/>
        <v>0.13725490196078433</v>
      </c>
      <c r="G182" s="127">
        <f>F182*Inputs!$B$11</f>
        <v>0.12490196078431375</v>
      </c>
      <c r="H182" s="127">
        <f t="shared" si="135"/>
        <v>9.783707297351929E-2</v>
      </c>
      <c r="I182" s="45">
        <f>Profiles!I14</f>
        <v>0.03</v>
      </c>
      <c r="J182" s="45">
        <f>Profiles!F40</f>
        <v>4.4999999999999998E-2</v>
      </c>
      <c r="K182" s="46">
        <f>IF(AND(H182&gt;0,K61&lt;Inputs!$B$15),K61*(1-H182),K61)</f>
        <v>0.60295863105439385</v>
      </c>
      <c r="L182" s="46">
        <f t="shared" si="130"/>
        <v>0</v>
      </c>
      <c r="M182" s="114">
        <f>IF(Inputs!$B$26="Yes",VLOOKUP(D182,VWR[#All],2,FALSE),1)</f>
        <v>1</v>
      </c>
      <c r="N182" s="114">
        <f>IF(Inputs!$B$27="Yes",VLOOKUP(D182,VVR[#All],2,FALSE),0)</f>
        <v>0</v>
      </c>
      <c r="O182" s="46">
        <f>(J61*Inputs!$B$18*Inputs!$B$42/$C$48)*M182</f>
        <v>0.9773333274981687</v>
      </c>
      <c r="P182" s="46">
        <f t="shared" si="119"/>
        <v>0</v>
      </c>
      <c r="Q182" s="46">
        <f t="shared" si="131"/>
        <v>0.37437469644377486</v>
      </c>
      <c r="R182" s="46">
        <f t="shared" si="120"/>
        <v>0.60295863105439385</v>
      </c>
      <c r="S182" s="103">
        <f t="shared" si="121"/>
        <v>0</v>
      </c>
      <c r="T182" s="46">
        <f t="shared" si="132"/>
        <v>0.9773333274981687</v>
      </c>
      <c r="U182" s="46">
        <f t="shared" si="122"/>
        <v>0</v>
      </c>
      <c r="V182" s="46">
        <f t="shared" si="133"/>
        <v>0.37437469644377486</v>
      </c>
      <c r="W182" s="46">
        <f t="shared" si="123"/>
        <v>0.60295863105439385</v>
      </c>
      <c r="X182" s="103">
        <f t="shared" si="124"/>
        <v>1.4681360644853916</v>
      </c>
      <c r="Y182" s="46">
        <f>X182*Inputs!$B$8</f>
        <v>0.5578917045044488</v>
      </c>
      <c r="Z182" s="170">
        <f t="shared" si="125"/>
        <v>220.55789170450444</v>
      </c>
      <c r="AA182" s="104">
        <f>IF(AND(Z182&gt;=255,C182&lt;=Inputs!$B$7,V182&gt;0),(($AN$22-$AN$21)/($AM$22-$AM$21)*(Z182-$AM$21)+$AN$21)*O182,0)</f>
        <v>0</v>
      </c>
      <c r="AB182" s="104">
        <f t="shared" si="126"/>
        <v>0.9773333274981687</v>
      </c>
      <c r="AC182" s="46">
        <f t="shared" si="127"/>
        <v>0</v>
      </c>
      <c r="AD182" s="46">
        <f>IF(AB182&gt;K182,MIN((AB182-K182),5),0)</f>
        <v>0.37437469644377486</v>
      </c>
      <c r="AE182" s="46">
        <f t="shared" si="128"/>
        <v>0.60295863105439385</v>
      </c>
      <c r="AF182" s="103">
        <f>IF(S182&gt;0,(((R182/O182)*S182)*Inputs!$B$12)+((Q182/O182)*S182)*Inputs!$B$23,0)</f>
        <v>0</v>
      </c>
      <c r="AG182" s="103">
        <f>IF(AA182&gt;0,(((W182/T182)*AA182)*Inputs!$B$12)+((V182/T182)*AA182)*Inputs!$B$23,0)</f>
        <v>0</v>
      </c>
      <c r="AH182" s="331">
        <f>IF(AB182&gt;0,((J182*Inputs!$B$18*Inputs!$B$42/$C$48)-O182),0)</f>
        <v>0</v>
      </c>
      <c r="AI182" s="331">
        <f>IFERROR(((R182/O182)*AH182)*((Inputs!$B$12)+(((Q182/O182)*AH182)*Inputs!$B$23)),0)</f>
        <v>0</v>
      </c>
      <c r="AJ182" s="255"/>
      <c r="AK182" s="255"/>
      <c r="AL182" s="255">
        <f>IF(O182&gt;0,((R182/O182)*(O182-O61)*Inputs!$B$12)+((Q182/O182)*(O182-O61)*Inputs!$B$23),0)</f>
        <v>5.0569342673681988E-2</v>
      </c>
      <c r="AM182" s="103">
        <f>(K61-K182)*Inputs!$B$12</f>
        <v>1.5693406807815016E-2</v>
      </c>
    </row>
    <row r="183" spans="2:39">
      <c r="B183" s="134">
        <v>0.375</v>
      </c>
      <c r="C183" s="125">
        <f>Profiles!E41</f>
        <v>253</v>
      </c>
      <c r="D183" s="126">
        <f>IF(C183&lt;Inputs!$B$7,Inputs!$B$6,C183)</f>
        <v>220</v>
      </c>
      <c r="E183" s="127">
        <f>IF(VLOOKUP(K62,Profiles!$B$58:$C$88,2,TRUE)&gt;0,VLOOKUP(K62,Profiles!$B$58:$C$88,2,TRUE),0)</f>
        <v>0.96</v>
      </c>
      <c r="F183" s="127">
        <f t="shared" si="129"/>
        <v>0.13043478260869565</v>
      </c>
      <c r="G183" s="127">
        <f>F183*Inputs!$B$11</f>
        <v>0.11869565217391305</v>
      </c>
      <c r="H183" s="127">
        <f t="shared" si="135"/>
        <v>8.1974637681159424E-2</v>
      </c>
      <c r="I183" s="45">
        <f>Profiles!I15</f>
        <v>0.02</v>
      </c>
      <c r="J183" s="45">
        <f>Profiles!F41</f>
        <v>0.08</v>
      </c>
      <c r="K183" s="46">
        <f>IF(AND(H183&gt;0,K62&lt;Inputs!$B$15),K62*(1-H183),K62)</f>
        <v>0.40904017013232513</v>
      </c>
      <c r="L183" s="46">
        <f t="shared" si="130"/>
        <v>0</v>
      </c>
      <c r="M183" s="114">
        <f>IF(Inputs!$B$26="Yes",VLOOKUP(D183,VWR[#All],2,FALSE),1)</f>
        <v>1</v>
      </c>
      <c r="N183" s="114">
        <f>IF(Inputs!$B$27="Yes",VLOOKUP(D183,VVR[#All],2,FALSE),0)</f>
        <v>0</v>
      </c>
      <c r="O183" s="46">
        <f>(J62*Inputs!$B$18*Inputs!$B$42/$C$48)*M183</f>
        <v>1.7374814711078554</v>
      </c>
      <c r="P183" s="46">
        <f t="shared" si="119"/>
        <v>0</v>
      </c>
      <c r="Q183" s="46">
        <f t="shared" si="131"/>
        <v>1.3284413009755303</v>
      </c>
      <c r="R183" s="46">
        <f t="shared" si="120"/>
        <v>0.40904017013232513</v>
      </c>
      <c r="S183" s="103">
        <f t="shared" si="121"/>
        <v>0</v>
      </c>
      <c r="T183" s="46">
        <f t="shared" si="132"/>
        <v>1.7374814711078554</v>
      </c>
      <c r="U183" s="46">
        <f t="shared" si="122"/>
        <v>0</v>
      </c>
      <c r="V183" s="46">
        <f t="shared" si="133"/>
        <v>1.3284413009755303</v>
      </c>
      <c r="W183" s="46">
        <f t="shared" si="123"/>
        <v>0.40904017013232513</v>
      </c>
      <c r="X183" s="103">
        <f t="shared" si="124"/>
        <v>5.2507561303380648</v>
      </c>
      <c r="Y183" s="46">
        <f>X183*Inputs!$B$8</f>
        <v>1.9952873295284645</v>
      </c>
      <c r="Z183" s="170">
        <f t="shared" si="125"/>
        <v>221.99528732952845</v>
      </c>
      <c r="AA183" s="104">
        <f>IF(AND(Z183&gt;=255,C183&lt;=Inputs!$B$7,V183&gt;0),(($AN$22-$AN$21)/($AM$22-$AM$21)*(Z183-$AM$21)+$AN$21)*O183,0)</f>
        <v>0</v>
      </c>
      <c r="AB183" s="104">
        <f t="shared" si="126"/>
        <v>1.7374814711078554</v>
      </c>
      <c r="AC183" s="46">
        <f t="shared" si="127"/>
        <v>0</v>
      </c>
      <c r="AD183" s="46">
        <f t="shared" si="134"/>
        <v>1.3284413009755303</v>
      </c>
      <c r="AE183" s="46">
        <f t="shared" si="128"/>
        <v>0.40904017013232513</v>
      </c>
      <c r="AF183" s="103">
        <f>IF(S183&gt;0,(((R183/O183)*S183)*Inputs!$B$12)+((Q183/O183)*S183)*Inputs!$B$23,0)</f>
        <v>0</v>
      </c>
      <c r="AG183" s="103">
        <f>IF(AA183&gt;0,(((W183/T183)*AA183)*Inputs!$B$12)+((V183/T183)*AA183)*Inputs!$B$23,0)</f>
        <v>0</v>
      </c>
      <c r="AH183" s="331">
        <f>IF(AB183&gt;0,((J183*Inputs!$B$18*Inputs!$B$42/$C$48)-O183),0)</f>
        <v>0</v>
      </c>
      <c r="AI183" s="331">
        <f>IFERROR(((R183/O183)*AH183)*((Inputs!$B$12)+(((Q183/O183)*AH183)*Inputs!$B$23)),0)</f>
        <v>0</v>
      </c>
      <c r="AJ183" s="255"/>
      <c r="AK183" s="255"/>
      <c r="AL183" s="255">
        <f>IF(O183&gt;0,((R183/O183)*(O183-O62)*Inputs!$B$12)+((Q183/O183)*(O183-O62)*Inputs!$B$23),0)</f>
        <v>4.121321551181148E-2</v>
      </c>
      <c r="AM183" s="103">
        <f>(K62-K183)*Inputs!$B$12</f>
        <v>8.7660113421550081E-3</v>
      </c>
    </row>
    <row r="184" spans="2:39">
      <c r="B184" s="134">
        <v>0.41666666666666702</v>
      </c>
      <c r="C184" s="125">
        <f>Profiles!E42</f>
        <v>256</v>
      </c>
      <c r="D184" s="126">
        <f>IF(C184&lt;Inputs!$B$7,Inputs!$B$6,C184)</f>
        <v>220</v>
      </c>
      <c r="E184" s="127">
        <f>IF(VLOOKUP(K63,Profiles!$B$58:$C$88,2,TRUE)&gt;0,VLOOKUP(K63,Profiles!$B$58:$C$88,2,TRUE),0)</f>
        <v>0.96</v>
      </c>
      <c r="F184" s="127">
        <f t="shared" si="129"/>
        <v>0.140625</v>
      </c>
      <c r="G184" s="127">
        <f>F184*Inputs!$B$11</f>
        <v>0.12796874999999999</v>
      </c>
      <c r="H184" s="127">
        <f t="shared" si="135"/>
        <v>9.1634114583333259E-2</v>
      </c>
      <c r="I184" s="45">
        <f>Profiles!I16</f>
        <v>0.02</v>
      </c>
      <c r="J184" s="45">
        <f>Profiles!F42</f>
        <v>0.11</v>
      </c>
      <c r="K184" s="46">
        <f>IF(AND(H184&gt;0,K63&lt;Inputs!$B$15),K63*(1-H184),K63)</f>
        <v>0.40473624320652174</v>
      </c>
      <c r="L184" s="46">
        <f t="shared" si="130"/>
        <v>0</v>
      </c>
      <c r="M184" s="114">
        <f>IF(Inputs!$B$26="Yes",VLOOKUP(D184,VWR[#All],2,FALSE),1)</f>
        <v>1</v>
      </c>
      <c r="N184" s="114">
        <f>IF(Inputs!$B$27="Yes",VLOOKUP(D184,VVR[#All],2,FALSE),0)</f>
        <v>0</v>
      </c>
      <c r="O184" s="46">
        <f>(J63*Inputs!$B$18*Inputs!$B$42/$C$48)*M184</f>
        <v>2.3890370227733015</v>
      </c>
      <c r="P184" s="46">
        <f t="shared" si="119"/>
        <v>0</v>
      </c>
      <c r="Q184" s="46">
        <f t="shared" si="131"/>
        <v>1.9843007795667797</v>
      </c>
      <c r="R184" s="46">
        <f t="shared" si="120"/>
        <v>0.40473624320652174</v>
      </c>
      <c r="S184" s="103">
        <f t="shared" si="121"/>
        <v>0</v>
      </c>
      <c r="T184" s="46">
        <f t="shared" si="132"/>
        <v>2.3890370227733015</v>
      </c>
      <c r="U184" s="46">
        <f t="shared" si="122"/>
        <v>0</v>
      </c>
      <c r="V184" s="46">
        <f t="shared" si="133"/>
        <v>1.9843007795667797</v>
      </c>
      <c r="W184" s="46">
        <f t="shared" si="123"/>
        <v>0.40473624320652174</v>
      </c>
      <c r="X184" s="103">
        <f t="shared" si="124"/>
        <v>7.7511749201827334</v>
      </c>
      <c r="Y184" s="46">
        <f>X184*Inputs!$B$8</f>
        <v>2.9454464696694389</v>
      </c>
      <c r="Z184" s="170">
        <f t="shared" si="125"/>
        <v>222.94544646966943</v>
      </c>
      <c r="AA184" s="104">
        <f>IF(AND(Z184&gt;=255,C184&lt;=Inputs!$B$7,V184&gt;0),(($AN$22-$AN$21)/($AM$22-$AM$21)*(Z184-$AM$21)+$AN$21)*O184,0)</f>
        <v>0</v>
      </c>
      <c r="AB184" s="104">
        <f t="shared" si="126"/>
        <v>2.3890370227733015</v>
      </c>
      <c r="AC184" s="46">
        <f t="shared" si="127"/>
        <v>0</v>
      </c>
      <c r="AD184" s="46">
        <f>IF(AB184&gt;K184,MIN((AB184-K184),5),0)</f>
        <v>1.9843007795667797</v>
      </c>
      <c r="AE184" s="46">
        <f t="shared" si="128"/>
        <v>0.40473624320652174</v>
      </c>
      <c r="AF184" s="103">
        <f>IF(S184&gt;0,(((R184/O184)*S184)*Inputs!$B$12)+((Q184/O184)*S184)*Inputs!$B$23,0)</f>
        <v>0</v>
      </c>
      <c r="AG184" s="103">
        <f>IF(AA184&gt;0,(((W184/T184)*AA184)*Inputs!$B$12)+((V184/T184)*AA184)*Inputs!$B$23,0)</f>
        <v>0</v>
      </c>
      <c r="AH184" s="331">
        <f>IF(AB184&gt;0,((J184*Inputs!$B$18*Inputs!$B$42/$C$48)-O184),0)</f>
        <v>0</v>
      </c>
      <c r="AI184" s="331">
        <f>IFERROR(((R184/O184)*AH184)*((Inputs!$B$12)+(((Q184/O184)*AH184)*Inputs!$B$23)),0)</f>
        <v>0</v>
      </c>
      <c r="AJ184" s="255"/>
      <c r="AK184" s="255"/>
      <c r="AL184" s="255">
        <f>IF(O184&gt;0,((R184/O184)*(O184-O63)*Inputs!$B$12)+((Q184/O184)*(O184-O63)*Inputs!$B$23),0)</f>
        <v>0.10728089341362523</v>
      </c>
      <c r="AM184" s="103">
        <f>(K63-K184)*Inputs!$B$12</f>
        <v>9.7989538043478219E-3</v>
      </c>
    </row>
    <row r="185" spans="2:39">
      <c r="B185" s="134">
        <v>0.45833333333333298</v>
      </c>
      <c r="C185" s="125">
        <f>Profiles!E43</f>
        <v>257</v>
      </c>
      <c r="D185" s="126">
        <f>IF(C185&lt;Inputs!$B$7,Inputs!$B$6,C185)</f>
        <v>220</v>
      </c>
      <c r="E185" s="127">
        <f>IF(VLOOKUP(K64,Profiles!$B$58:$C$88,2,TRUE)&gt;0,VLOOKUP(K64,Profiles!$B$58:$C$88,2,TRUE),0)</f>
        <v>0.96</v>
      </c>
      <c r="F185" s="127">
        <f t="shared" si="129"/>
        <v>0.14396887159533073</v>
      </c>
      <c r="G185" s="127">
        <f>F185*Inputs!$B$11</f>
        <v>0.13101167315175097</v>
      </c>
      <c r="H185" s="127">
        <f t="shared" si="135"/>
        <v>9.4803826199740593E-2</v>
      </c>
      <c r="I185" s="45">
        <f>Profiles!I17</f>
        <v>0.02</v>
      </c>
      <c r="J185" s="45">
        <f>Profiles!F43</f>
        <v>0.12</v>
      </c>
      <c r="K185" s="46">
        <f>IF(AND(H185&gt;0,K64&lt;Inputs!$B$15),K64*(1-H185),K64)</f>
        <v>0.40332392996108951</v>
      </c>
      <c r="L185" s="46">
        <f t="shared" si="130"/>
        <v>0</v>
      </c>
      <c r="M185" s="114">
        <f>IF(Inputs!$B$26="Yes",VLOOKUP(D185,VWR[#All],2,FALSE),1)</f>
        <v>1</v>
      </c>
      <c r="N185" s="114">
        <f>IF(Inputs!$B$27="Yes",VLOOKUP(D185,VVR[#All],2,FALSE),0)</f>
        <v>0</v>
      </c>
      <c r="O185" s="46">
        <f>(J64*Inputs!$B$18*Inputs!$B$42/$C$48)*M185</f>
        <v>2.6062222066617831</v>
      </c>
      <c r="P185" s="46">
        <f t="shared" si="119"/>
        <v>0</v>
      </c>
      <c r="Q185" s="46">
        <f t="shared" si="131"/>
        <v>2.2028982767006937</v>
      </c>
      <c r="R185" s="46">
        <f t="shared" si="120"/>
        <v>0.40332392996108951</v>
      </c>
      <c r="S185" s="103">
        <f t="shared" si="121"/>
        <v>0</v>
      </c>
      <c r="T185" s="46">
        <f t="shared" si="132"/>
        <v>2.6062222066617831</v>
      </c>
      <c r="U185" s="46">
        <f t="shared" si="122"/>
        <v>0</v>
      </c>
      <c r="V185" s="46">
        <f t="shared" si="133"/>
        <v>2.2028982767006937</v>
      </c>
      <c r="W185" s="46">
        <f t="shared" si="123"/>
        <v>0.40332392996108951</v>
      </c>
      <c r="X185" s="103">
        <f t="shared" si="124"/>
        <v>8.5715886252945275</v>
      </c>
      <c r="Y185" s="46">
        <f>X185*Inputs!$B$8</f>
        <v>3.2572036776119204</v>
      </c>
      <c r="Z185" s="170">
        <f t="shared" si="125"/>
        <v>223.25720367761193</v>
      </c>
      <c r="AA185" s="104">
        <f>IF(AND(Z185&gt;=255,C185&lt;=Inputs!$B$7,V185&gt;0),(($AN$22-$AN$21)/($AM$22-$AM$21)*(Z185-$AM$21)+$AN$21)*O185,0)</f>
        <v>0</v>
      </c>
      <c r="AB185" s="104">
        <f t="shared" si="126"/>
        <v>2.6062222066617831</v>
      </c>
      <c r="AC185" s="46">
        <f t="shared" si="127"/>
        <v>0</v>
      </c>
      <c r="AD185" s="46">
        <f t="shared" si="134"/>
        <v>2.2028982767006937</v>
      </c>
      <c r="AE185" s="46">
        <f t="shared" si="128"/>
        <v>0.40332392996108951</v>
      </c>
      <c r="AF185" s="103">
        <f>IF(S185&gt;0,(((R185/O185)*S185)*Inputs!$B$12)+((Q185/O185)*S185)*Inputs!$B$23,0)</f>
        <v>0</v>
      </c>
      <c r="AG185" s="103">
        <f>IF(AA185&gt;0,(((W185/T185)*AA185)*Inputs!$B$12)+((V185/T185)*AA185)*Inputs!$B$23,0)</f>
        <v>0</v>
      </c>
      <c r="AH185" s="331">
        <f>IF(AB185&gt;0,((J185*Inputs!$B$18*Inputs!$B$42/$C$48)-O185),0)</f>
        <v>0</v>
      </c>
      <c r="AI185" s="331">
        <f>IFERROR(((R185/O185)*AH185)*((Inputs!$B$12)+(((Q185/O185)*AH185)*Inputs!$B$23)),0)</f>
        <v>0</v>
      </c>
      <c r="AJ185" s="255"/>
      <c r="AK185" s="255"/>
      <c r="AL185" s="255">
        <f>IF(O185&gt;0,((R185/O185)*(O185-O64)*Inputs!$B$12)+((Q185/O185)*(O185-O64)*Inputs!$B$23),0)</f>
        <v>0.13482766692070469</v>
      </c>
      <c r="AM185" s="103">
        <f>(K64-K185)*Inputs!$B$12</f>
        <v>1.0137908983251558E-2</v>
      </c>
    </row>
    <row r="186" spans="2:39">
      <c r="B186" s="134">
        <v>0.5</v>
      </c>
      <c r="C186" s="125">
        <f>Profiles!E44</f>
        <v>257</v>
      </c>
      <c r="D186" s="126">
        <f>IF(C186&lt;Inputs!$B$7,Inputs!$B$6,C186)</f>
        <v>220</v>
      </c>
      <c r="E186" s="127">
        <f>IF(VLOOKUP(K65,Profiles!$B$58:$C$88,2,TRUE)&gt;0,VLOOKUP(K65,Profiles!$B$58:$C$88,2,TRUE),0)</f>
        <v>0.96</v>
      </c>
      <c r="F186" s="127">
        <f t="shared" si="129"/>
        <v>0.14396887159533073</v>
      </c>
      <c r="G186" s="127">
        <f>F186*Inputs!$B$11</f>
        <v>0.13101167315175097</v>
      </c>
      <c r="H186" s="127">
        <f t="shared" si="135"/>
        <v>9.4803826199740593E-2</v>
      </c>
      <c r="I186" s="45">
        <f>Profiles!I18</f>
        <v>0.02</v>
      </c>
      <c r="J186" s="45">
        <f>Profiles!F44</f>
        <v>0.125</v>
      </c>
      <c r="K186" s="46">
        <f>IF(AND(H186&gt;0,K65&lt;Inputs!$B$15),K65*(1-H186),K65)</f>
        <v>0.40332392996108951</v>
      </c>
      <c r="L186" s="46">
        <f t="shared" si="130"/>
        <v>0</v>
      </c>
      <c r="M186" s="114">
        <f>IF(Inputs!$B$26="Yes",VLOOKUP(D186,VWR[#All],2,FALSE),1)</f>
        <v>1</v>
      </c>
      <c r="N186" s="114">
        <f>IF(Inputs!$B$27="Yes",VLOOKUP(D186,VVR[#All],2,FALSE),0)</f>
        <v>0</v>
      </c>
      <c r="O186" s="46">
        <f>(J65*Inputs!$B$18*Inputs!$B$42/$C$48)*M186</f>
        <v>2.714814798606024</v>
      </c>
      <c r="P186" s="46">
        <f t="shared" si="119"/>
        <v>0</v>
      </c>
      <c r="Q186" s="46">
        <f t="shared" si="131"/>
        <v>2.3114908686449347</v>
      </c>
      <c r="R186" s="46">
        <f t="shared" si="120"/>
        <v>0.40332392996108951</v>
      </c>
      <c r="S186" s="103">
        <f t="shared" si="121"/>
        <v>0</v>
      </c>
      <c r="T186" s="46">
        <f t="shared" si="132"/>
        <v>2.714814798606024</v>
      </c>
      <c r="U186" s="46">
        <f t="shared" si="122"/>
        <v>0</v>
      </c>
      <c r="V186" s="46">
        <f t="shared" si="133"/>
        <v>2.3114908686449347</v>
      </c>
      <c r="W186" s="46">
        <f t="shared" si="123"/>
        <v>0.40332392996108951</v>
      </c>
      <c r="X186" s="103">
        <f t="shared" si="124"/>
        <v>8.9941278935600586</v>
      </c>
      <c r="Y186" s="46">
        <f>X186*Inputs!$B$8</f>
        <v>3.4177685995528222</v>
      </c>
      <c r="Z186" s="170">
        <f t="shared" si="125"/>
        <v>223.41776859955283</v>
      </c>
      <c r="AA186" s="104">
        <f>IF(AND(Z186&gt;=255,C186&lt;=Inputs!$B$7,V186&gt;0),(($AN$22-$AN$21)/($AM$22-$AM$21)*(Z186-$AM$21)+$AN$21)*O186,0)</f>
        <v>0</v>
      </c>
      <c r="AB186" s="104">
        <f t="shared" si="126"/>
        <v>2.714814798606024</v>
      </c>
      <c r="AC186" s="46">
        <f t="shared" si="127"/>
        <v>0</v>
      </c>
      <c r="AD186" s="46">
        <f t="shared" si="134"/>
        <v>2.3114908686449347</v>
      </c>
      <c r="AE186" s="46">
        <f t="shared" si="128"/>
        <v>0.40332392996108951</v>
      </c>
      <c r="AF186" s="103">
        <f>IF(S186&gt;0,(((R186/O186)*S186)*Inputs!$B$12)+((Q186/O186)*S186)*Inputs!$B$23,0)</f>
        <v>0</v>
      </c>
      <c r="AG186" s="103">
        <f>IF(AA186&gt;0,(((W186/T186)*AA186)*Inputs!$B$12)+((V186/T186)*AA186)*Inputs!$B$23,0)</f>
        <v>0</v>
      </c>
      <c r="AH186" s="331">
        <f>IF(AB186&gt;0,((J186*Inputs!$B$18*Inputs!$B$42/$C$48)-O186),0)</f>
        <v>0</v>
      </c>
      <c r="AI186" s="331">
        <f>IFERROR(((R186/O186)*AH186)*((Inputs!$B$12)+(((Q186/O186)*AH186)*Inputs!$B$23)),0)</f>
        <v>0</v>
      </c>
      <c r="AJ186" s="255"/>
      <c r="AK186" s="255"/>
      <c r="AL186" s="255">
        <f>IF(O186&gt;0,((R186/O186)*(O186-O65)*Inputs!$B$12)+((Q186/O186)*(O186-O65)*Inputs!$B$23),0)</f>
        <v>0.13969261503980668</v>
      </c>
      <c r="AM186" s="103">
        <f>(K65-K186)*Inputs!$B$12</f>
        <v>1.0137908983251558E-2</v>
      </c>
    </row>
    <row r="187" spans="2:39">
      <c r="B187" s="134">
        <v>0.54166666666666696</v>
      </c>
      <c r="C187" s="125">
        <f>Profiles!E45</f>
        <v>257</v>
      </c>
      <c r="D187" s="126">
        <f>IF(C187&lt;Inputs!$B$7,Inputs!$B$6,C187)</f>
        <v>220</v>
      </c>
      <c r="E187" s="127">
        <f>IF(VLOOKUP(K66,Profiles!$B$58:$C$88,2,TRUE)&gt;0,VLOOKUP(K66,Profiles!$B$58:$C$88,2,TRUE),0)</f>
        <v>0.96</v>
      </c>
      <c r="F187" s="127">
        <f t="shared" si="129"/>
        <v>0.14396887159533073</v>
      </c>
      <c r="G187" s="127">
        <f>F187*Inputs!$B$11</f>
        <v>0.13101167315175097</v>
      </c>
      <c r="H187" s="127">
        <f t="shared" si="135"/>
        <v>9.4803826199740593E-2</v>
      </c>
      <c r="I187" s="45">
        <f>Profiles!I19</f>
        <v>0.02</v>
      </c>
      <c r="J187" s="45">
        <f>Profiles!F45</f>
        <v>0.125</v>
      </c>
      <c r="K187" s="46">
        <f>IF(AND(H187&gt;0,K66&lt;Inputs!$B$15),K66*(1-H187),K66)</f>
        <v>0.40332392996108951</v>
      </c>
      <c r="L187" s="46">
        <f t="shared" si="130"/>
        <v>0</v>
      </c>
      <c r="M187" s="114">
        <f>IF(Inputs!$B$26="Yes",VLOOKUP(D187,VWR[#All],2,FALSE),1)</f>
        <v>1</v>
      </c>
      <c r="N187" s="114">
        <f>IF(Inputs!$B$27="Yes",VLOOKUP(D187,VVR[#All],2,FALSE),0)</f>
        <v>0</v>
      </c>
      <c r="O187" s="46">
        <f>(J66*Inputs!$B$18*Inputs!$B$42/$C$48)*M187</f>
        <v>2.714814798606024</v>
      </c>
      <c r="P187" s="46">
        <f t="shared" si="119"/>
        <v>0</v>
      </c>
      <c r="Q187" s="46">
        <f t="shared" si="131"/>
        <v>2.3114908686449347</v>
      </c>
      <c r="R187" s="46">
        <f t="shared" si="120"/>
        <v>0.40332392996108951</v>
      </c>
      <c r="S187" s="103">
        <f t="shared" si="121"/>
        <v>0</v>
      </c>
      <c r="T187" s="46">
        <f t="shared" si="132"/>
        <v>2.714814798606024</v>
      </c>
      <c r="U187" s="46">
        <f t="shared" si="122"/>
        <v>0</v>
      </c>
      <c r="V187" s="46">
        <f t="shared" si="133"/>
        <v>2.3114908686449347</v>
      </c>
      <c r="W187" s="46">
        <f t="shared" si="123"/>
        <v>0.40332392996108951</v>
      </c>
      <c r="X187" s="103">
        <f t="shared" si="124"/>
        <v>8.9941278935600586</v>
      </c>
      <c r="Y187" s="46">
        <f>X187*Inputs!$B$8</f>
        <v>3.4177685995528222</v>
      </c>
      <c r="Z187" s="170">
        <f t="shared" si="125"/>
        <v>223.41776859955283</v>
      </c>
      <c r="AA187" s="104">
        <f>IF(AND(Z187&gt;=255,C187&lt;=Inputs!$B$7,V187&gt;0),(($AN$22-$AN$21)/($AM$22-$AM$21)*(Z187-$AM$21)+$AN$21)*O187,0)</f>
        <v>0</v>
      </c>
      <c r="AB187" s="104">
        <f t="shared" si="126"/>
        <v>2.714814798606024</v>
      </c>
      <c r="AC187" s="46">
        <f t="shared" si="127"/>
        <v>0</v>
      </c>
      <c r="AD187" s="46">
        <f t="shared" si="134"/>
        <v>2.3114908686449347</v>
      </c>
      <c r="AE187" s="46">
        <f t="shared" si="128"/>
        <v>0.40332392996108951</v>
      </c>
      <c r="AF187" s="103">
        <f>IF(S187&gt;0,(((R187/O187)*S187)*Inputs!$B$12)+((Q187/O187)*S187)*Inputs!$B$23,0)</f>
        <v>0</v>
      </c>
      <c r="AG187" s="103">
        <f>IF(AA187&gt;0,(((W187/T187)*AA187)*Inputs!$B$12)+((V187/T187)*AA187)*Inputs!$B$23,0)</f>
        <v>0</v>
      </c>
      <c r="AH187" s="331">
        <f>IF(AB187&gt;0,((J187*Inputs!$B$18*Inputs!$B$42/$C$48)-O187),0)</f>
        <v>0</v>
      </c>
      <c r="AI187" s="331">
        <f>IFERROR(((R187/O187)*AH187)*((Inputs!$B$12)+(((Q187/O187)*AH187)*Inputs!$B$23)),0)</f>
        <v>0</v>
      </c>
      <c r="AJ187" s="255"/>
      <c r="AK187" s="255"/>
      <c r="AL187" s="255">
        <f>IF(O187&gt;0,((R187/O187)*(O187-O66)*Inputs!$B$12)+((Q187/O187)*(O187-O66)*Inputs!$B$23),0)</f>
        <v>0.13969261503980668</v>
      </c>
      <c r="AM187" s="103">
        <f>(K66-K187)*Inputs!$B$12</f>
        <v>1.0137908983251558E-2</v>
      </c>
    </row>
    <row r="188" spans="2:39">
      <c r="B188" s="134">
        <v>0.58333333333333304</v>
      </c>
      <c r="C188" s="125">
        <f>Profiles!E46</f>
        <v>256</v>
      </c>
      <c r="D188" s="126">
        <f>IF(C188&lt;Inputs!$B$7,Inputs!$B$6,C188)</f>
        <v>220</v>
      </c>
      <c r="E188" s="127">
        <f>IF(VLOOKUP(K67,Profiles!$B$58:$C$88,2,TRUE)&gt;0,VLOOKUP(K67,Profiles!$B$58:$C$88,2,TRUE),0)</f>
        <v>0.96</v>
      </c>
      <c r="F188" s="127">
        <f t="shared" si="129"/>
        <v>0.140625</v>
      </c>
      <c r="G188" s="127">
        <f>F188*Inputs!$B$11</f>
        <v>0.12796874999999999</v>
      </c>
      <c r="H188" s="127">
        <f t="shared" si="135"/>
        <v>9.1634114583333259E-2</v>
      </c>
      <c r="I188" s="45">
        <f>Profiles!I20</f>
        <v>0.02</v>
      </c>
      <c r="J188" s="45">
        <f>Profiles!F46</f>
        <v>0.12</v>
      </c>
      <c r="K188" s="46">
        <f>IF(AND(H188&gt;0,K67&lt;Inputs!$B$15),K67*(1-H188),K67)</f>
        <v>0.40473624320652174</v>
      </c>
      <c r="L188" s="46">
        <f t="shared" si="130"/>
        <v>0</v>
      </c>
      <c r="M188" s="114">
        <f>IF(Inputs!$B$26="Yes",VLOOKUP(D188,VWR[#All],2,FALSE),1)</f>
        <v>1</v>
      </c>
      <c r="N188" s="114">
        <f>IF(Inputs!$B$27="Yes",VLOOKUP(D188,VVR[#All],2,FALSE),0)</f>
        <v>0</v>
      </c>
      <c r="O188" s="46">
        <f>(J67*Inputs!$B$18*Inputs!$B$42/$C$48)*M188</f>
        <v>2.6062222066617831</v>
      </c>
      <c r="P188" s="46">
        <f t="shared" si="119"/>
        <v>0</v>
      </c>
      <c r="Q188" s="46">
        <f t="shared" si="131"/>
        <v>2.2014859634552613</v>
      </c>
      <c r="R188" s="46">
        <f t="shared" si="120"/>
        <v>0.40473624320652174</v>
      </c>
      <c r="S188" s="103">
        <f t="shared" si="121"/>
        <v>0</v>
      </c>
      <c r="T188" s="46">
        <f t="shared" si="132"/>
        <v>2.6062222066617831</v>
      </c>
      <c r="U188" s="46">
        <f t="shared" si="122"/>
        <v>0</v>
      </c>
      <c r="V188" s="46">
        <f t="shared" si="133"/>
        <v>2.2014859634552613</v>
      </c>
      <c r="W188" s="46">
        <f t="shared" si="123"/>
        <v>0.40473624320652174</v>
      </c>
      <c r="X188" s="103">
        <f t="shared" si="124"/>
        <v>8.5995545447471144</v>
      </c>
      <c r="Y188" s="46">
        <f>X188*Inputs!$B$8</f>
        <v>3.2678307270039033</v>
      </c>
      <c r="Z188" s="170">
        <f t="shared" si="125"/>
        <v>223.26783072700391</v>
      </c>
      <c r="AA188" s="104">
        <f>IF(AND(Z188&gt;=255,C188&lt;=Inputs!$B$7,V188&gt;0),(($AN$22-$AN$21)/($AM$22-$AM$21)*(Z188-$AM$21)+$AN$21)*O188,0)</f>
        <v>0</v>
      </c>
      <c r="AB188" s="104">
        <f t="shared" si="126"/>
        <v>2.6062222066617831</v>
      </c>
      <c r="AC188" s="46">
        <f t="shared" si="127"/>
        <v>0</v>
      </c>
      <c r="AD188" s="46">
        <f t="shared" si="134"/>
        <v>2.2014859634552613</v>
      </c>
      <c r="AE188" s="46">
        <f t="shared" si="128"/>
        <v>0.40473624320652174</v>
      </c>
      <c r="AF188" s="103">
        <f>IF(S188&gt;0,(((R188/O188)*S188)*Inputs!$B$12)+((Q188/O188)*S188)*Inputs!$B$23,0)</f>
        <v>0</v>
      </c>
      <c r="AG188" s="103">
        <f>IF(AA188&gt;0,(((W188/T188)*AA188)*Inputs!$B$12)+((V188/T188)*AA188)*Inputs!$B$23,0)</f>
        <v>0</v>
      </c>
      <c r="AH188" s="331">
        <f>IF(AB188&gt;0,((J188*Inputs!$B$18*Inputs!$B$42/$C$48)-O188),0)</f>
        <v>0</v>
      </c>
      <c r="AI188" s="331">
        <f>IFERROR(((R188/O188)*AH188)*((Inputs!$B$12)+(((Q188/O188)*AH188)*Inputs!$B$23)),0)</f>
        <v>0</v>
      </c>
      <c r="AJ188" s="255"/>
      <c r="AK188" s="255"/>
      <c r="AL188" s="255">
        <f>IF(O188&gt;0,((R188/O188)*(O188-O67)*Inputs!$B$12)+((Q188/O188)*(O188-O67)*Inputs!$B$23),0)</f>
        <v>0.1156208044749429</v>
      </c>
      <c r="AM188" s="103">
        <f>(K67-K188)*Inputs!$B$12</f>
        <v>9.7989538043478219E-3</v>
      </c>
    </row>
    <row r="189" spans="2:39">
      <c r="B189" s="134">
        <v>0.625</v>
      </c>
      <c r="C189" s="125">
        <f>Profiles!E47</f>
        <v>256</v>
      </c>
      <c r="D189" s="126">
        <f>IF(C189&lt;Inputs!$B$7,Inputs!$B$6,C189)</f>
        <v>220</v>
      </c>
      <c r="E189" s="127">
        <f>IF(VLOOKUP(K68,Profiles!$B$58:$C$88,2,TRUE)&gt;0,VLOOKUP(K68,Profiles!$B$58:$C$88,2,TRUE),0)</f>
        <v>0.96</v>
      </c>
      <c r="F189" s="127">
        <f t="shared" si="129"/>
        <v>0.140625</v>
      </c>
      <c r="G189" s="127">
        <f>F189*Inputs!$B$11</f>
        <v>0.12796874999999999</v>
      </c>
      <c r="H189" s="127">
        <f t="shared" si="135"/>
        <v>9.1634114583333259E-2</v>
      </c>
      <c r="I189" s="45">
        <f>Profiles!I21</f>
        <v>0.02</v>
      </c>
      <c r="J189" s="45">
        <f>Profiles!F47</f>
        <v>0.11</v>
      </c>
      <c r="K189" s="46">
        <f>IF(AND(H189&gt;0,K68&lt;Inputs!$B$15),K68*(1-H189),K68)</f>
        <v>0.40473624320652174</v>
      </c>
      <c r="L189" s="46">
        <f t="shared" si="130"/>
        <v>0</v>
      </c>
      <c r="M189" s="114">
        <f>IF(Inputs!$B$26="Yes",VLOOKUP(D189,VWR[#All],2,FALSE),1)</f>
        <v>1</v>
      </c>
      <c r="N189" s="114">
        <f>IF(Inputs!$B$27="Yes",VLOOKUP(D189,VVR[#All],2,FALSE),0)</f>
        <v>0</v>
      </c>
      <c r="O189" s="46">
        <f>(J68*Inputs!$B$18*Inputs!$B$42/$C$48)*M189</f>
        <v>2.3890370227733015</v>
      </c>
      <c r="P189" s="46">
        <f t="shared" si="119"/>
        <v>0</v>
      </c>
      <c r="Q189" s="46">
        <f t="shared" si="131"/>
        <v>1.9843007795667797</v>
      </c>
      <c r="R189" s="46">
        <f t="shared" si="120"/>
        <v>0.40473624320652174</v>
      </c>
      <c r="S189" s="103">
        <f t="shared" si="121"/>
        <v>0</v>
      </c>
      <c r="T189" s="46">
        <f t="shared" si="132"/>
        <v>2.3890370227733015</v>
      </c>
      <c r="U189" s="46">
        <f t="shared" si="122"/>
        <v>0</v>
      </c>
      <c r="V189" s="46">
        <f t="shared" si="133"/>
        <v>1.9843007795667797</v>
      </c>
      <c r="W189" s="46">
        <f t="shared" si="123"/>
        <v>0.40473624320652174</v>
      </c>
      <c r="X189" s="103">
        <f t="shared" si="124"/>
        <v>7.7511749201827334</v>
      </c>
      <c r="Y189" s="46">
        <f>X189*Inputs!$B$8</f>
        <v>2.9454464696694389</v>
      </c>
      <c r="Z189" s="170">
        <f t="shared" si="125"/>
        <v>222.94544646966943</v>
      </c>
      <c r="AA189" s="104">
        <f>IF(AND(Z189&gt;=255,C189&lt;=Inputs!$B$7,V189&gt;0),(($AN$22-$AN$21)/($AM$22-$AM$21)*(Z189-$AM$21)+$AN$21)*O189,0)</f>
        <v>0</v>
      </c>
      <c r="AB189" s="104">
        <f t="shared" si="126"/>
        <v>2.3890370227733015</v>
      </c>
      <c r="AC189" s="46">
        <f t="shared" si="127"/>
        <v>0</v>
      </c>
      <c r="AD189" s="46">
        <f t="shared" si="134"/>
        <v>1.9843007795667797</v>
      </c>
      <c r="AE189" s="46">
        <f t="shared" si="128"/>
        <v>0.40473624320652174</v>
      </c>
      <c r="AF189" s="103">
        <f>IF(S189&gt;0,(((R189/O189)*S189)*Inputs!$B$12)+((Q189/O189)*S189)*Inputs!$B$23,0)</f>
        <v>0</v>
      </c>
      <c r="AG189" s="103">
        <f>IF(AA189&gt;0,(((W189/T189)*AA189)*Inputs!$B$12)+((V189/T189)*AA189)*Inputs!$B$23,0)</f>
        <v>0</v>
      </c>
      <c r="AH189" s="331">
        <f>IF(AB189&gt;0,((J189*Inputs!$B$18*Inputs!$B$42/$C$48)-O189),0)</f>
        <v>0</v>
      </c>
      <c r="AI189" s="331">
        <f>IFERROR(((R189/O189)*AH189)*((Inputs!$B$12)+(((Q189/O189)*AH189)*Inputs!$B$23)),0)</f>
        <v>0</v>
      </c>
      <c r="AJ189" s="255"/>
      <c r="AK189" s="255"/>
      <c r="AL189" s="255">
        <f>IF(O189&gt;0,((R189/O189)*(O189-O68)*Inputs!$B$12)+((Q189/O189)*(O189-O68)*Inputs!$B$23),0)</f>
        <v>0.10728089341362523</v>
      </c>
      <c r="AM189" s="103">
        <f>(K68-K189)*Inputs!$B$12</f>
        <v>9.7989538043478219E-3</v>
      </c>
    </row>
    <row r="190" spans="2:39">
      <c r="B190" s="134">
        <v>0.66666666666666696</v>
      </c>
      <c r="C190" s="125">
        <f>Profiles!E48</f>
        <v>255</v>
      </c>
      <c r="D190" s="126">
        <f>IF(C190&lt;Inputs!$B$7,Inputs!$B$6,C190)</f>
        <v>220</v>
      </c>
      <c r="E190" s="127">
        <f>IF(VLOOKUP(K69,Profiles!$B$58:$C$88,2,TRUE)&gt;0,VLOOKUP(K69,Profiles!$B$58:$C$88,2,TRUE),0)</f>
        <v>0.98</v>
      </c>
      <c r="F190" s="127">
        <f t="shared" si="129"/>
        <v>0.13725490196078433</v>
      </c>
      <c r="G190" s="127">
        <f>F190*Inputs!$B$11</f>
        <v>0.12490196078431375</v>
      </c>
      <c r="H190" s="127">
        <f t="shared" si="135"/>
        <v>0.10704281712685071</v>
      </c>
      <c r="I190" s="45">
        <f>Profiles!I22</f>
        <v>0.05</v>
      </c>
      <c r="J190" s="45">
        <f>Profiles!F48</f>
        <v>0.08</v>
      </c>
      <c r="K190" s="46">
        <f>IF(AND(H190&gt;0,K69&lt;Inputs!$B$15),K69*(1-H190),K69)</f>
        <v>0.99467665327000376</v>
      </c>
      <c r="L190" s="46">
        <f t="shared" si="130"/>
        <v>0</v>
      </c>
      <c r="M190" s="114">
        <f>IF(Inputs!$B$26="Yes",VLOOKUP(D190,VWR[#All],2,FALSE),1)</f>
        <v>1</v>
      </c>
      <c r="N190" s="114">
        <f>IF(Inputs!$B$27="Yes",VLOOKUP(D190,VVR[#All],2,FALSE),0)</f>
        <v>0</v>
      </c>
      <c r="O190" s="46">
        <f>(J69*Inputs!$B$18*Inputs!$B$42/$C$48)*M190</f>
        <v>1.7374814711078554</v>
      </c>
      <c r="P190" s="46">
        <f t="shared" si="119"/>
        <v>0</v>
      </c>
      <c r="Q190" s="46">
        <f t="shared" si="131"/>
        <v>0.74280481783785168</v>
      </c>
      <c r="R190" s="46">
        <f t="shared" si="120"/>
        <v>0.99467665327000376</v>
      </c>
      <c r="S190" s="103">
        <f t="shared" si="121"/>
        <v>0</v>
      </c>
      <c r="T190" s="46">
        <f t="shared" si="132"/>
        <v>1.7374814711078554</v>
      </c>
      <c r="U190" s="46">
        <f t="shared" si="122"/>
        <v>0</v>
      </c>
      <c r="V190" s="46">
        <f t="shared" si="133"/>
        <v>0.74280481783785168</v>
      </c>
      <c r="W190" s="46">
        <f t="shared" si="123"/>
        <v>0.99467665327000376</v>
      </c>
      <c r="X190" s="103">
        <f t="shared" si="124"/>
        <v>2.9129600699523595</v>
      </c>
      <c r="Y190" s="46">
        <f>X190*Inputs!$B$8</f>
        <v>1.1069248265818965</v>
      </c>
      <c r="Z190" s="170">
        <f t="shared" si="125"/>
        <v>221.10692482658189</v>
      </c>
      <c r="AA190" s="104">
        <f>IF(AND(Z190&gt;=255,C190&lt;=Inputs!$B$7,V190&gt;0),(($AN$22-$AN$21)/($AM$22-$AM$21)*(Z190-$AM$21)+$AN$21)*O190,0)</f>
        <v>0</v>
      </c>
      <c r="AB190" s="104">
        <f t="shared" si="126"/>
        <v>1.7374814711078554</v>
      </c>
      <c r="AC190" s="46">
        <f t="shared" si="127"/>
        <v>0</v>
      </c>
      <c r="AD190" s="46">
        <f t="shared" si="134"/>
        <v>0.74280481783785168</v>
      </c>
      <c r="AE190" s="46">
        <f t="shared" si="128"/>
        <v>0.99467665327000376</v>
      </c>
      <c r="AF190" s="103">
        <f>IF(S190&gt;0,(((R190/O190)*S190)*Inputs!$B$12)+((Q190/O190)*S190)*Inputs!$B$23,0)</f>
        <v>0</v>
      </c>
      <c r="AG190" s="103">
        <f>IF(AA190&gt;0,(((W190/T190)*AA190)*Inputs!$B$12)+((V190/T190)*AA190)*Inputs!$B$23,0)</f>
        <v>0</v>
      </c>
      <c r="AH190" s="331">
        <f>IF(AB190&gt;0,((J190*Inputs!$B$18*Inputs!$B$42/$C$48)-O190),0)</f>
        <v>0</v>
      </c>
      <c r="AI190" s="331">
        <f>IFERROR(((R190/O190)*AH190)*((Inputs!$B$12)+(((Q190/O190)*AH190)*Inputs!$B$23)),0)</f>
        <v>0</v>
      </c>
      <c r="AJ190" s="255"/>
      <c r="AK190" s="255"/>
      <c r="AL190" s="255">
        <f>IF(O190&gt;0,((R190/O190)*(O190-O69)*Inputs!$B$12)+((Q190/O190)*(O190-O69)*Inputs!$B$23),0)</f>
        <v>8.7429059980091511E-2</v>
      </c>
      <c r="AM190" s="103">
        <f>(K69-K190)*Inputs!$B$12</f>
        <v>2.8616733649981716E-2</v>
      </c>
    </row>
    <row r="191" spans="2:39">
      <c r="B191" s="134">
        <v>0.70833333333333304</v>
      </c>
      <c r="C191" s="125">
        <f>Profiles!E49</f>
        <v>254</v>
      </c>
      <c r="D191" s="126">
        <f>IF(C191&lt;Inputs!$B$7,Inputs!$B$6,C191)</f>
        <v>220</v>
      </c>
      <c r="E191" s="127">
        <f>IF(VLOOKUP(K70,Profiles!$B$58:$C$88,2,TRUE)&gt;0,VLOOKUP(K70,Profiles!$B$58:$C$88,2,TRUE),0)</f>
        <v>0.98</v>
      </c>
      <c r="F191" s="127">
        <f t="shared" si="129"/>
        <v>0.13385826771653545</v>
      </c>
      <c r="G191" s="127">
        <f>F191*Inputs!$B$11</f>
        <v>0.12181102362204727</v>
      </c>
      <c r="H191" s="127">
        <f t="shared" si="135"/>
        <v>0.10388879961433395</v>
      </c>
      <c r="I191" s="45">
        <f>Profiles!I23</f>
        <v>0.08</v>
      </c>
      <c r="J191" s="45">
        <f>Profiles!F49</f>
        <v>4.4999999999999998E-2</v>
      </c>
      <c r="K191" s="46">
        <f>IF(AND(H191&gt;0,K70&lt;Inputs!$B$15),K70*(1-H191),K70)</f>
        <v>1.597103927226488</v>
      </c>
      <c r="L191" s="46">
        <f t="shared" si="130"/>
        <v>0</v>
      </c>
      <c r="M191" s="114">
        <f>IF(Inputs!$B$26="Yes",VLOOKUP(D191,VWR[#All],2,FALSE),1)</f>
        <v>1</v>
      </c>
      <c r="N191" s="114">
        <f>IF(Inputs!$B$27="Yes",VLOOKUP(D191,VVR[#All],2,FALSE),0)</f>
        <v>0</v>
      </c>
      <c r="O191" s="46">
        <f>(J70*Inputs!$B$18*Inputs!$B$42/$C$48)*M191</f>
        <v>0.9773333274981687</v>
      </c>
      <c r="P191" s="46">
        <f t="shared" si="119"/>
        <v>0.61977059972831927</v>
      </c>
      <c r="Q191" s="46">
        <f t="shared" si="131"/>
        <v>0</v>
      </c>
      <c r="R191" s="46">
        <f t="shared" si="120"/>
        <v>0.9773333274981687</v>
      </c>
      <c r="S191" s="103">
        <f t="shared" si="121"/>
        <v>0</v>
      </c>
      <c r="T191" s="46">
        <f t="shared" si="132"/>
        <v>0.9773333274981687</v>
      </c>
      <c r="U191" s="46">
        <f t="shared" si="122"/>
        <v>0.61977059972831927</v>
      </c>
      <c r="V191" s="46">
        <f t="shared" si="133"/>
        <v>0</v>
      </c>
      <c r="W191" s="46">
        <f t="shared" si="123"/>
        <v>0.9773333274981687</v>
      </c>
      <c r="X191" s="103">
        <f t="shared" si="124"/>
        <v>0</v>
      </c>
      <c r="Y191" s="46">
        <f>X191*Inputs!$B$8</f>
        <v>0</v>
      </c>
      <c r="Z191" s="170">
        <f t="shared" si="125"/>
        <v>220</v>
      </c>
      <c r="AA191" s="104">
        <f>IF(AND(Z191&gt;=255,C191&lt;=Inputs!$B$7,V191&gt;0),(($AN$22-$AN$21)/($AM$22-$AM$21)*(Z191-$AM$21)+$AN$21)*O191,0)</f>
        <v>0</v>
      </c>
      <c r="AB191" s="104">
        <f t="shared" si="126"/>
        <v>0.9773333274981687</v>
      </c>
      <c r="AC191" s="46">
        <f t="shared" si="127"/>
        <v>0.61977059972831927</v>
      </c>
      <c r="AD191" s="46">
        <f t="shared" si="134"/>
        <v>0</v>
      </c>
      <c r="AE191" s="46">
        <f t="shared" si="128"/>
        <v>0.9773333274981687</v>
      </c>
      <c r="AF191" s="103">
        <f>IF(S191&gt;0,(((R191/O191)*S191)*Inputs!$B$12)+((Q191/O191)*S191)*Inputs!$B$23,0)</f>
        <v>0</v>
      </c>
      <c r="AG191" s="103">
        <f>IF(AA191&gt;0,(((W191/T191)*AA191)*Inputs!$B$12)+((V191/T191)*AA191)*Inputs!$B$23,0)</f>
        <v>0</v>
      </c>
      <c r="AH191" s="331">
        <f>IF(AB191&gt;0,((J191*Inputs!$B$18*Inputs!$B$42/$C$48)-O191),0)</f>
        <v>0</v>
      </c>
      <c r="AI191" s="331">
        <f>IFERROR(((R191/O191)*AH191)*((Inputs!$B$12)+(((Q191/O191)*AH191)*Inputs!$B$23)),0)</f>
        <v>0</v>
      </c>
      <c r="AJ191" s="255"/>
      <c r="AK191" s="255"/>
      <c r="AL191" s="255">
        <f>IF(O191&gt;0,((R191/O191)*(O191-O70)*Inputs!$B$12)+((Q191/O191)*(O191-O70)*Inputs!$B$23),0)</f>
        <v>5.0039466367906238E-2</v>
      </c>
      <c r="AM191" s="103">
        <f>(K70-K191)*Inputs!$B$12</f>
        <v>4.4437666161295047E-2</v>
      </c>
    </row>
    <row r="192" spans="2:39">
      <c r="B192" s="134">
        <v>0.75</v>
      </c>
      <c r="C192" s="125">
        <f>Profiles!E50</f>
        <v>254</v>
      </c>
      <c r="D192" s="126">
        <f>IF(C192&lt;Inputs!$B$7,Inputs!$B$6,C192)</f>
        <v>220</v>
      </c>
      <c r="E192" s="127">
        <f>IF(VLOOKUP(K71,Profiles!$B$58:$C$88,2,TRUE)&gt;0,VLOOKUP(K71,Profiles!$B$58:$C$88,2,TRUE),0)</f>
        <v>0.98</v>
      </c>
      <c r="F192" s="127">
        <f t="shared" si="129"/>
        <v>0.13385826771653545</v>
      </c>
      <c r="G192" s="127">
        <f>F192*Inputs!$B$11</f>
        <v>0.12181102362204727</v>
      </c>
      <c r="H192" s="127">
        <f t="shared" si="135"/>
        <v>0.10388879961433395</v>
      </c>
      <c r="I192" s="45">
        <f>Profiles!I24</f>
        <v>0.12</v>
      </c>
      <c r="J192" s="45">
        <f>Profiles!F50</f>
        <v>0.02</v>
      </c>
      <c r="K192" s="46">
        <f>IF(AND(H192&gt;0,K71&lt;Inputs!$B$15),K71*(1-H192),K71)</f>
        <v>2.3956558908397314</v>
      </c>
      <c r="L192" s="46">
        <f t="shared" si="130"/>
        <v>0</v>
      </c>
      <c r="M192" s="114">
        <f>IF(Inputs!$B$26="Yes",VLOOKUP(D192,VWR[#All],2,FALSE),1)</f>
        <v>1</v>
      </c>
      <c r="N192" s="114">
        <f>IF(Inputs!$B$27="Yes",VLOOKUP(D192,VVR[#All],2,FALSE),0)</f>
        <v>0</v>
      </c>
      <c r="O192" s="46">
        <f>(J71*Inputs!$B$18*Inputs!$B$42/$C$48)*M192</f>
        <v>0.43437036777696386</v>
      </c>
      <c r="P192" s="46">
        <f t="shared" si="119"/>
        <v>1.9612855230627675</v>
      </c>
      <c r="Q192" s="46">
        <f t="shared" si="131"/>
        <v>0</v>
      </c>
      <c r="R192" s="46">
        <f t="shared" si="120"/>
        <v>0.43437036777696386</v>
      </c>
      <c r="S192" s="103">
        <f t="shared" si="121"/>
        <v>0</v>
      </c>
      <c r="T192" s="46">
        <f t="shared" si="132"/>
        <v>0.43437036777696386</v>
      </c>
      <c r="U192" s="46">
        <f t="shared" si="122"/>
        <v>1.9612855230627675</v>
      </c>
      <c r="V192" s="46">
        <f t="shared" si="133"/>
        <v>0</v>
      </c>
      <c r="W192" s="46">
        <f t="shared" si="123"/>
        <v>0.43437036777696386</v>
      </c>
      <c r="X192" s="103">
        <f t="shared" si="124"/>
        <v>0</v>
      </c>
      <c r="Y192" s="46">
        <f>X192*Inputs!$B$8</f>
        <v>0</v>
      </c>
      <c r="Z192" s="170">
        <f t="shared" si="125"/>
        <v>220</v>
      </c>
      <c r="AA192" s="104">
        <f>IF(AND(Z192&gt;=255,C192&lt;=Inputs!$B$7,V192&gt;0),(($AN$22-$AN$21)/($AM$22-$AM$21)*(Z192-$AM$21)+$AN$21)*O192,0)</f>
        <v>0</v>
      </c>
      <c r="AB192" s="104">
        <f t="shared" si="126"/>
        <v>0.43437036777696386</v>
      </c>
      <c r="AC192" s="46">
        <f t="shared" si="127"/>
        <v>1.9612855230627675</v>
      </c>
      <c r="AD192" s="46">
        <f t="shared" si="134"/>
        <v>0</v>
      </c>
      <c r="AE192" s="46">
        <f t="shared" si="128"/>
        <v>0.43437036777696386</v>
      </c>
      <c r="AF192" s="103">
        <f>IF(S192&gt;0,(((R192/O192)*S192)*Inputs!$B$12)+((Q192/O192)*S192)*Inputs!$B$23,0)</f>
        <v>0</v>
      </c>
      <c r="AG192" s="103">
        <f>IF(AA192&gt;0,(((W192/T192)*AA192)*Inputs!$B$12)+((V192/T192)*AA192)*Inputs!$B$23,0)</f>
        <v>0</v>
      </c>
      <c r="AH192" s="331">
        <f>IF(AB192&gt;0,((J192*Inputs!$B$18*Inputs!$B$42/$C$48)-O192),0)</f>
        <v>0</v>
      </c>
      <c r="AI192" s="331">
        <f>IFERROR(((R192/O192)*AH192)*((Inputs!$B$12)+(((Q192/O192)*AH192)*Inputs!$B$23)),0)</f>
        <v>0</v>
      </c>
      <c r="AJ192" s="255"/>
      <c r="AK192" s="255"/>
      <c r="AL192" s="255">
        <f>IF(O192&gt;0,((R192/O192)*(O192-O71)*Inputs!$B$12)+((Q192/O192)*(O192-O71)*Inputs!$B$23),0)</f>
        <v>2.2239762830180552E-2</v>
      </c>
      <c r="AM192" s="103">
        <f>(K71-K192)*Inputs!$B$12</f>
        <v>6.6656499241942627E-2</v>
      </c>
    </row>
    <row r="193" spans="2:39">
      <c r="B193" s="134">
        <v>0.79166666666666696</v>
      </c>
      <c r="C193" s="125">
        <f>Profiles!E51</f>
        <v>255</v>
      </c>
      <c r="D193" s="126">
        <f>IF(C193&lt;Inputs!$B$7,Inputs!$B$6,C193)</f>
        <v>220</v>
      </c>
      <c r="E193" s="127">
        <f>IF(VLOOKUP(K72,Profiles!$B$58:$C$88,2,TRUE)&gt;0,VLOOKUP(K72,Profiles!$B$58:$C$88,2,TRUE),0)</f>
        <v>0.98</v>
      </c>
      <c r="F193" s="127">
        <f t="shared" si="129"/>
        <v>0.13725490196078433</v>
      </c>
      <c r="G193" s="127">
        <f>F193*Inputs!$B$11</f>
        <v>0.12490196078431375</v>
      </c>
      <c r="H193" s="127">
        <f t="shared" si="135"/>
        <v>0.10704281712685071</v>
      </c>
      <c r="I193" s="45">
        <f>Profiles!I25</f>
        <v>0.12</v>
      </c>
      <c r="J193" s="45">
        <f>Profiles!F51</f>
        <v>0</v>
      </c>
      <c r="K193" s="46">
        <f>IF(AND(H193&gt;0,K72&lt;Inputs!$B$15),K72*(1-H193),K72)</f>
        <v>2.3872239678480085</v>
      </c>
      <c r="L193" s="46">
        <f t="shared" si="130"/>
        <v>0</v>
      </c>
      <c r="M193" s="114">
        <f>IF(Inputs!$B$26="Yes",VLOOKUP(D193,VWR[#All],2,FALSE),1)</f>
        <v>1</v>
      </c>
      <c r="N193" s="114">
        <f>IF(Inputs!$B$27="Yes",VLOOKUP(D193,VVR[#All],2,FALSE),0)</f>
        <v>0</v>
      </c>
      <c r="O193" s="46">
        <f>(J72*Inputs!$B$18*Inputs!$B$42/$C$48)*M193</f>
        <v>0</v>
      </c>
      <c r="P193" s="46">
        <f t="shared" si="119"/>
        <v>2.3872239678480085</v>
      </c>
      <c r="Q193" s="46">
        <f t="shared" si="131"/>
        <v>0</v>
      </c>
      <c r="R193" s="46">
        <f t="shared" si="120"/>
        <v>0</v>
      </c>
      <c r="S193" s="103">
        <f t="shared" si="121"/>
        <v>0</v>
      </c>
      <c r="T193" s="46">
        <f t="shared" si="132"/>
        <v>0</v>
      </c>
      <c r="U193" s="46">
        <f t="shared" si="122"/>
        <v>2.3872239678480085</v>
      </c>
      <c r="V193" s="46">
        <f t="shared" si="133"/>
        <v>0</v>
      </c>
      <c r="W193" s="46">
        <f t="shared" si="123"/>
        <v>0</v>
      </c>
      <c r="X193" s="103">
        <f t="shared" si="124"/>
        <v>0</v>
      </c>
      <c r="Y193" s="46">
        <f>X193*Inputs!$B$8</f>
        <v>0</v>
      </c>
      <c r="Z193" s="170">
        <f t="shared" si="125"/>
        <v>220</v>
      </c>
      <c r="AA193" s="104">
        <f>IF(AND(Z193&gt;=255,C193&lt;=Inputs!$B$7,V193&gt;0),(($AN$22-$AN$21)/($AM$22-$AM$21)*(Z193-$AM$21)+$AN$21)*O193,0)</f>
        <v>0</v>
      </c>
      <c r="AB193" s="104">
        <f t="shared" si="126"/>
        <v>0</v>
      </c>
      <c r="AC193" s="46">
        <f t="shared" si="127"/>
        <v>2.3872239678480085</v>
      </c>
      <c r="AD193" s="46">
        <f t="shared" si="134"/>
        <v>0</v>
      </c>
      <c r="AE193" s="46">
        <f t="shared" si="128"/>
        <v>0</v>
      </c>
      <c r="AF193" s="103">
        <f>IF(S193&gt;0,(((R193/O193)*S193)*Inputs!$B$12)+((Q193/O193)*S193)*Inputs!$B$23,0)</f>
        <v>0</v>
      </c>
      <c r="AG193" s="103">
        <f>IF(AA193&gt;0,(((W193/T193)*AA193)*Inputs!$B$12)+((V193/T193)*AA193)*Inputs!$B$23,0)</f>
        <v>0</v>
      </c>
      <c r="AH193" s="331">
        <f>IF(AB193&gt;0,((J193*Inputs!$B$18*Inputs!$B$42/$C$48)-O193),0)</f>
        <v>0</v>
      </c>
      <c r="AI193" s="331">
        <f>IFERROR(((R193/O193)*AH193)*((Inputs!$B$12)+(((Q193/O193)*AH193)*Inputs!$B$23)),0)</f>
        <v>0</v>
      </c>
      <c r="AJ193" s="255"/>
      <c r="AK193" s="255"/>
      <c r="AL193" s="255">
        <f>IF(O193&gt;0,((R193/O193)*(O193-O72)*Inputs!$B$12)+((Q193/O193)*(O193-O72)*Inputs!$B$23),0)</f>
        <v>0</v>
      </c>
      <c r="AM193" s="103">
        <f>(K72-K193)*Inputs!$B$12</f>
        <v>6.8680160759956116E-2</v>
      </c>
    </row>
    <row r="194" spans="2:39">
      <c r="B194" s="134">
        <v>0.83333333333333304</v>
      </c>
      <c r="C194" s="125">
        <f>Profiles!E52</f>
        <v>255</v>
      </c>
      <c r="D194" s="126">
        <f>IF(C194&lt;Inputs!$B$7,Inputs!$B$6,C194)</f>
        <v>220</v>
      </c>
      <c r="E194" s="127">
        <f>IF(VLOOKUP(K73,Profiles!$B$58:$C$88,2,TRUE)&gt;0,VLOOKUP(K73,Profiles!$B$58:$C$88,2,TRUE),0)</f>
        <v>0.98</v>
      </c>
      <c r="F194" s="127">
        <f t="shared" si="129"/>
        <v>0.13725490196078433</v>
      </c>
      <c r="G194" s="127">
        <f>F194*Inputs!$B$11</f>
        <v>0.12490196078431375</v>
      </c>
      <c r="H194" s="127">
        <f t="shared" si="135"/>
        <v>0.10704281712685071</v>
      </c>
      <c r="I194" s="45">
        <f>Profiles!I26</f>
        <v>0.08</v>
      </c>
      <c r="J194" s="45">
        <f>Profiles!F52</f>
        <v>0</v>
      </c>
      <c r="K194" s="46">
        <f>IF(AND(H194&gt;0,K73&lt;Inputs!$B$15),K73*(1-H194),K73)</f>
        <v>1.5914826452320059</v>
      </c>
      <c r="L194" s="46">
        <f>IF(D194=C194,1,0)</f>
        <v>0</v>
      </c>
      <c r="M194" s="114">
        <f>IF(Inputs!$B$26="Yes",VLOOKUP(D194,VWR[#All],2,FALSE),1)</f>
        <v>1</v>
      </c>
      <c r="N194" s="114">
        <f>IF(Inputs!$B$27="Yes",VLOOKUP(D194,VVR[#All],2,FALSE),0)</f>
        <v>0</v>
      </c>
      <c r="O194" s="46">
        <f>(J73*Inputs!$B$18*Inputs!$B$42/$C$48)*M194</f>
        <v>0</v>
      </c>
      <c r="P194" s="46">
        <f t="shared" si="119"/>
        <v>1.5914826452320059</v>
      </c>
      <c r="Q194" s="46">
        <f>IF(O194&gt;K194,MIN((O194-K194),5),0)</f>
        <v>0</v>
      </c>
      <c r="R194" s="46">
        <f t="shared" si="120"/>
        <v>0</v>
      </c>
      <c r="S194" s="103">
        <f t="shared" si="121"/>
        <v>0</v>
      </c>
      <c r="T194" s="46">
        <f t="shared" si="132"/>
        <v>0</v>
      </c>
      <c r="U194" s="46">
        <f t="shared" si="122"/>
        <v>1.5914826452320059</v>
      </c>
      <c r="V194" s="46">
        <f t="shared" si="133"/>
        <v>0</v>
      </c>
      <c r="W194" s="46">
        <f t="shared" si="123"/>
        <v>0</v>
      </c>
      <c r="X194" s="103">
        <f t="shared" si="124"/>
        <v>0</v>
      </c>
      <c r="Y194" s="46">
        <f>X194*Inputs!$B$8</f>
        <v>0</v>
      </c>
      <c r="Z194" s="170">
        <f t="shared" si="125"/>
        <v>220</v>
      </c>
      <c r="AA194" s="104">
        <f>IF(AND(Z194&gt;=255,C194&lt;=Inputs!$B$7,V194&gt;0),(($AN$22-$AN$21)/($AM$22-$AM$21)*(Z194-$AM$21)+$AN$21)*O194,0)</f>
        <v>0</v>
      </c>
      <c r="AB194" s="104">
        <f t="shared" si="126"/>
        <v>0</v>
      </c>
      <c r="AC194" s="46">
        <f t="shared" si="127"/>
        <v>1.5914826452320059</v>
      </c>
      <c r="AD194" s="46">
        <f t="shared" si="134"/>
        <v>0</v>
      </c>
      <c r="AE194" s="46">
        <f t="shared" si="128"/>
        <v>0</v>
      </c>
      <c r="AF194" s="103">
        <f>IF(S194&gt;0,(((R194/O194)*S194)*Inputs!$B$12)+((Q194/O194)*S194)*Inputs!$B$23,0)</f>
        <v>0</v>
      </c>
      <c r="AG194" s="103">
        <f>IF(AA194&gt;0,(((W194/T194)*AA194)*Inputs!$B$12)+((V194/T194)*AA194)*Inputs!$B$23,0)</f>
        <v>0</v>
      </c>
      <c r="AH194" s="331">
        <f>IF(AB194&gt;0,((J194*Inputs!$B$18*Inputs!$B$42/$C$48)-O194),0)</f>
        <v>0</v>
      </c>
      <c r="AI194" s="331">
        <f>IFERROR(((R194/O194)*AH194)*((Inputs!$B$12)+(((Q194/O194)*AH194)*Inputs!$B$23)),0)</f>
        <v>0</v>
      </c>
      <c r="AJ194" s="255"/>
      <c r="AK194" s="255"/>
      <c r="AL194" s="255">
        <f>IF(O194&gt;0,((R194/O194)*(O194-O73)*Inputs!$B$12)+((Q194/O194)*(O194-O73)*Inputs!$B$23),0)</f>
        <v>0</v>
      </c>
      <c r="AM194" s="103">
        <f>(K73-K194)*Inputs!$B$12</f>
        <v>4.5786773839970749E-2</v>
      </c>
    </row>
    <row r="195" spans="2:39">
      <c r="B195" s="134">
        <v>0.875</v>
      </c>
      <c r="C195" s="125">
        <f>Profiles!E53</f>
        <v>255</v>
      </c>
      <c r="D195" s="126">
        <f>IF(C195&lt;Inputs!$B$7,Inputs!$B$6,C195)</f>
        <v>220</v>
      </c>
      <c r="E195" s="127">
        <f>IF(VLOOKUP(K74,Profiles!$B$58:$C$88,2,TRUE)&gt;0,VLOOKUP(K74,Profiles!$B$58:$C$88,2,TRUE),0)</f>
        <v>0.98</v>
      </c>
      <c r="F195" s="127">
        <f t="shared" si="129"/>
        <v>0.13725490196078433</v>
      </c>
      <c r="G195" s="127">
        <f>F195*Inputs!$B$11</f>
        <v>0.12490196078431375</v>
      </c>
      <c r="H195" s="127">
        <f t="shared" si="135"/>
        <v>0.10704281712685071</v>
      </c>
      <c r="I195" s="45">
        <f>Profiles!I27</f>
        <v>0.06</v>
      </c>
      <c r="J195" s="45">
        <f>Profiles!F53</f>
        <v>0</v>
      </c>
      <c r="K195" s="46">
        <f>IF(AND(H195&gt;0,K74&lt;Inputs!$B$15),K74*(1-H195),K74)</f>
        <v>1.1936119839240042</v>
      </c>
      <c r="L195" s="46">
        <f t="shared" si="130"/>
        <v>0</v>
      </c>
      <c r="M195" s="114">
        <f>IF(Inputs!$B$26="Yes",VLOOKUP(D195,VWR[#All],2,FALSE),1)</f>
        <v>1</v>
      </c>
      <c r="N195" s="114">
        <f>IF(Inputs!$B$27="Yes",VLOOKUP(D195,VVR[#All],2,FALSE),0)</f>
        <v>0</v>
      </c>
      <c r="O195" s="46">
        <f>(J74*Inputs!$B$18*Inputs!$B$42/$C$48)*M195</f>
        <v>0</v>
      </c>
      <c r="P195" s="46">
        <f t="shared" si="119"/>
        <v>1.1936119839240042</v>
      </c>
      <c r="Q195" s="46">
        <f t="shared" si="131"/>
        <v>0</v>
      </c>
      <c r="R195" s="46">
        <f t="shared" si="120"/>
        <v>0</v>
      </c>
      <c r="S195" s="103">
        <f t="shared" si="121"/>
        <v>0</v>
      </c>
      <c r="T195" s="46">
        <f t="shared" si="132"/>
        <v>0</v>
      </c>
      <c r="U195" s="46">
        <f t="shared" si="122"/>
        <v>1.1936119839240042</v>
      </c>
      <c r="V195" s="46">
        <f t="shared" si="133"/>
        <v>0</v>
      </c>
      <c r="W195" s="46">
        <f t="shared" si="123"/>
        <v>0</v>
      </c>
      <c r="X195" s="103">
        <f t="shared" si="124"/>
        <v>0</v>
      </c>
      <c r="Y195" s="46">
        <f>X195*Inputs!$B$8</f>
        <v>0</v>
      </c>
      <c r="Z195" s="170">
        <f t="shared" si="125"/>
        <v>220</v>
      </c>
      <c r="AA195" s="104">
        <f>IF(AND(Z195&gt;=255,C195&lt;=Inputs!$B$7,V195&gt;0),(($AN$22-$AN$21)/($AM$22-$AM$21)*(Z195-$AM$21)+$AN$21)*O195,0)</f>
        <v>0</v>
      </c>
      <c r="AB195" s="104">
        <f t="shared" si="126"/>
        <v>0</v>
      </c>
      <c r="AC195" s="46">
        <f t="shared" si="127"/>
        <v>1.1936119839240042</v>
      </c>
      <c r="AD195" s="46">
        <f t="shared" si="134"/>
        <v>0</v>
      </c>
      <c r="AE195" s="46">
        <f t="shared" si="128"/>
        <v>0</v>
      </c>
      <c r="AF195" s="103">
        <f>IF(S195&gt;0,(((R195/O195)*S195)*Inputs!$B$12)+((Q195/O195)*S195)*Inputs!$B$23,0)</f>
        <v>0</v>
      </c>
      <c r="AG195" s="103">
        <f>IF(AA195&gt;0,(((W195/T195)*AA195)*Inputs!$B$12)+((V195/T195)*AA195)*Inputs!$B$23,0)</f>
        <v>0</v>
      </c>
      <c r="AH195" s="331">
        <f>IF(AB195&gt;0,((J195*Inputs!$B$18*Inputs!$B$42/$C$48)-O195),0)</f>
        <v>0</v>
      </c>
      <c r="AI195" s="331">
        <f>IFERROR(((R195/O195)*AH195)*((Inputs!$B$12)+(((Q195/O195)*AH195)*Inputs!$B$23)),0)</f>
        <v>0</v>
      </c>
      <c r="AJ195" s="255"/>
      <c r="AK195" s="255"/>
      <c r="AL195" s="255">
        <f>IF(O195&gt;0,((R195/O195)*(O195-O74)*Inputs!$B$12)+((Q195/O195)*(O195-O74)*Inputs!$B$23),0)</f>
        <v>0</v>
      </c>
      <c r="AM195" s="103">
        <f>(K74-K195)*Inputs!$B$12</f>
        <v>3.4340080379978058E-2</v>
      </c>
    </row>
    <row r="196" spans="2:39">
      <c r="B196" s="134">
        <v>0.91666666666666696</v>
      </c>
      <c r="C196" s="125">
        <f>Profiles!E54</f>
        <v>255</v>
      </c>
      <c r="D196" s="126">
        <f>IF(C196&lt;Inputs!$B$7,Inputs!$B$6,C196)</f>
        <v>220</v>
      </c>
      <c r="E196" s="127">
        <f>IF(VLOOKUP(K75,Profiles!$B$58:$C$88,2,TRUE)&gt;0,VLOOKUP(K75,Profiles!$B$58:$C$88,2,TRUE),0)</f>
        <v>0.97</v>
      </c>
      <c r="F196" s="127">
        <f t="shared" si="129"/>
        <v>0.13725490196078433</v>
      </c>
      <c r="G196" s="127">
        <f>F196*Inputs!$B$11</f>
        <v>0.12490196078431375</v>
      </c>
      <c r="H196" s="127">
        <f t="shared" si="135"/>
        <v>9.783707297351929E-2</v>
      </c>
      <c r="I196" s="45">
        <f>Profiles!I28</f>
        <v>0.03</v>
      </c>
      <c r="J196" s="45">
        <f>Profiles!F54</f>
        <v>0</v>
      </c>
      <c r="K196" s="46">
        <f>IF(AND(H196&gt;0,K75&lt;Inputs!$B$15),K75*(1-H196),K75)</f>
        <v>0.60295863105439385</v>
      </c>
      <c r="L196" s="46">
        <f t="shared" si="130"/>
        <v>0</v>
      </c>
      <c r="M196" s="114">
        <f>IF(Inputs!$B$26="Yes",VLOOKUP(D196,VWR[#All],2,FALSE),1)</f>
        <v>1</v>
      </c>
      <c r="N196" s="114">
        <f>IF(Inputs!$B$27="Yes",VLOOKUP(D196,VVR[#All],2,FALSE),0)</f>
        <v>0</v>
      </c>
      <c r="O196" s="46">
        <f>(J75*Inputs!$B$18*Inputs!$B$42/$C$48)*M196</f>
        <v>0</v>
      </c>
      <c r="P196" s="46">
        <f t="shared" si="119"/>
        <v>0.60295863105439385</v>
      </c>
      <c r="Q196" s="46">
        <f t="shared" si="131"/>
        <v>0</v>
      </c>
      <c r="R196" s="46">
        <f t="shared" si="120"/>
        <v>0</v>
      </c>
      <c r="S196" s="103">
        <f t="shared" si="121"/>
        <v>0</v>
      </c>
      <c r="T196" s="46">
        <f t="shared" si="132"/>
        <v>0</v>
      </c>
      <c r="U196" s="46">
        <f t="shared" si="122"/>
        <v>0.60295863105439385</v>
      </c>
      <c r="V196" s="46">
        <f t="shared" si="133"/>
        <v>0</v>
      </c>
      <c r="W196" s="46">
        <f t="shared" si="123"/>
        <v>0</v>
      </c>
      <c r="X196" s="103">
        <f t="shared" si="124"/>
        <v>0</v>
      </c>
      <c r="Y196" s="46">
        <f>X196*Inputs!$B$8</f>
        <v>0</v>
      </c>
      <c r="Z196" s="170">
        <f t="shared" si="125"/>
        <v>220</v>
      </c>
      <c r="AA196" s="104">
        <f>IF(AND(Z196&gt;=255,C196&lt;=Inputs!$B$7,V196&gt;0),(($AN$22-$AN$21)/($AM$22-$AM$21)*(Z196-$AM$21)+$AN$21)*O196,0)</f>
        <v>0</v>
      </c>
      <c r="AB196" s="104">
        <f t="shared" si="126"/>
        <v>0</v>
      </c>
      <c r="AC196" s="46">
        <f t="shared" si="127"/>
        <v>0.60295863105439385</v>
      </c>
      <c r="AD196" s="46">
        <f t="shared" si="134"/>
        <v>0</v>
      </c>
      <c r="AE196" s="46">
        <f t="shared" si="128"/>
        <v>0</v>
      </c>
      <c r="AF196" s="103">
        <f>IF(S196&gt;0,(((R196/O196)*S196)*Inputs!$B$12)+((Q196/O196)*S196)*Inputs!$B$23,0)</f>
        <v>0</v>
      </c>
      <c r="AG196" s="103">
        <f>IF(AA196&gt;0,(((W196/T196)*AA196)*Inputs!$B$12)+((V196/T196)*AA196)*Inputs!$B$23,0)</f>
        <v>0</v>
      </c>
      <c r="AH196" s="331">
        <f>IF(AB196&gt;0,((J196*Inputs!$B$18*Inputs!$B$42/$C$48)-O196),0)</f>
        <v>0</v>
      </c>
      <c r="AI196" s="331">
        <f>IFERROR(((R196/O196)*AH196)*((Inputs!$B$12)+(((Q196/O196)*AH196)*Inputs!$B$23)),0)</f>
        <v>0</v>
      </c>
      <c r="AJ196" s="255"/>
      <c r="AK196" s="255"/>
      <c r="AL196" s="255">
        <f>IF(O196&gt;0,((R196/O196)*(O196-O75)*Inputs!$B$12)+((Q196/O196)*(O196-O75)*Inputs!$B$23),0)</f>
        <v>0</v>
      </c>
      <c r="AM196" s="103">
        <f>(K75-K196)*Inputs!$B$12</f>
        <v>1.5693406807815016E-2</v>
      </c>
    </row>
    <row r="197" spans="2:39">
      <c r="B197" s="134">
        <v>0.95833333333333304</v>
      </c>
      <c r="C197" s="125">
        <f>Profiles!E55</f>
        <v>255</v>
      </c>
      <c r="D197" s="126">
        <f>IF(C197&lt;Inputs!$B$7,Inputs!$B$6,C197)</f>
        <v>220</v>
      </c>
      <c r="E197" s="127">
        <f>IF(VLOOKUP(K76,Profiles!$B$58:$C$88,2,TRUE)&gt;0,VLOOKUP(K76,Profiles!$B$58:$C$88,2,TRUE),0)</f>
        <v>0.92</v>
      </c>
      <c r="F197" s="127">
        <f t="shared" si="129"/>
        <v>0.13725490196078433</v>
      </c>
      <c r="G197" s="127">
        <f>F197*Inputs!$B$11</f>
        <v>0.12490196078431375</v>
      </c>
      <c r="H197" s="127">
        <f t="shared" si="135"/>
        <v>4.8806479113384538E-2</v>
      </c>
      <c r="I197" s="45">
        <f>Profiles!I29</f>
        <v>0.01</v>
      </c>
      <c r="J197" s="45">
        <f>Profiles!F55</f>
        <v>0</v>
      </c>
      <c r="K197" s="46">
        <f>IF(AND(H197&gt;0,K76&lt;Inputs!$B$15),K76*(1-H197),K76)</f>
        <v>0.21190937395752249</v>
      </c>
      <c r="L197" s="46">
        <f t="shared" si="130"/>
        <v>0</v>
      </c>
      <c r="M197" s="114">
        <f>IF(Inputs!$B$26="Yes",VLOOKUP(D197,VWR[#All],2,FALSE),1)</f>
        <v>1</v>
      </c>
      <c r="N197" s="114">
        <f>IF(Inputs!$B$27="Yes",VLOOKUP(D197,VVR[#All],2,FALSE),0)</f>
        <v>0</v>
      </c>
      <c r="O197" s="46">
        <f>(J76*Inputs!$B$18*Inputs!$B$42/$C$48)*M197</f>
        <v>0</v>
      </c>
      <c r="P197" s="46">
        <f t="shared" si="119"/>
        <v>0.21190937395752249</v>
      </c>
      <c r="Q197" s="46">
        <f t="shared" si="131"/>
        <v>0</v>
      </c>
      <c r="R197" s="46">
        <f t="shared" si="120"/>
        <v>0</v>
      </c>
      <c r="S197" s="103">
        <f t="shared" si="121"/>
        <v>0</v>
      </c>
      <c r="T197" s="46">
        <f t="shared" si="132"/>
        <v>0</v>
      </c>
      <c r="U197" s="46">
        <f t="shared" si="122"/>
        <v>0.21190937395752249</v>
      </c>
      <c r="V197" s="46">
        <f t="shared" si="133"/>
        <v>0</v>
      </c>
      <c r="W197" s="46">
        <f t="shared" si="123"/>
        <v>0</v>
      </c>
      <c r="X197" s="103">
        <f t="shared" si="124"/>
        <v>0</v>
      </c>
      <c r="Y197" s="46">
        <f>X197*Inputs!$B$8</f>
        <v>0</v>
      </c>
      <c r="Z197" s="170">
        <f t="shared" si="125"/>
        <v>220</v>
      </c>
      <c r="AA197" s="104">
        <f>IF(AND(Z197&gt;=255,C197&lt;=Inputs!$B$7,V197&gt;0),(($AN$22-$AN$21)/($AM$22-$AM$21)*(Z197-$AM$21)+$AN$21)*O197,0)</f>
        <v>0</v>
      </c>
      <c r="AB197" s="104">
        <f t="shared" si="126"/>
        <v>0</v>
      </c>
      <c r="AC197" s="46">
        <f t="shared" si="127"/>
        <v>0.21190937395752249</v>
      </c>
      <c r="AD197" s="46">
        <f t="shared" si="134"/>
        <v>0</v>
      </c>
      <c r="AE197" s="46">
        <f t="shared" si="128"/>
        <v>0</v>
      </c>
      <c r="AF197" s="103">
        <f>IF(S197&gt;0,(((R197/O197)*S197)*Inputs!$B$12)+((Q197/O197)*S197)*Inputs!$B$23,0)</f>
        <v>0</v>
      </c>
      <c r="AG197" s="103">
        <f>IF(AA197&gt;0,(((W197/T197)*AA197)*Inputs!$B$12)+((V197/T197)*AA197)*Inputs!$B$23,0)</f>
        <v>0</v>
      </c>
      <c r="AH197" s="331">
        <f>IF(AB197&gt;0,((J197*Inputs!$B$18*Inputs!$B$42/$C$48)-O197),0)</f>
        <v>0</v>
      </c>
      <c r="AI197" s="331">
        <f>IFERROR(((R197/O197)*AH197)*((Inputs!$B$12)+(((Q197/O197)*AH197)*Inputs!$B$23)),0)</f>
        <v>0</v>
      </c>
      <c r="AJ197" s="255"/>
      <c r="AK197" s="255"/>
      <c r="AL197" s="255">
        <f>IF(O197&gt;0,((R197/O197)*(O197-O76)*Inputs!$B$12)+((Q197/O197)*(O197-O76)*Inputs!$B$23),0)</f>
        <v>0</v>
      </c>
      <c r="AM197" s="103">
        <f>(K76-K197)*Inputs!$B$12</f>
        <v>2.6095763371511227E-3</v>
      </c>
    </row>
    <row r="198" spans="2:39">
      <c r="S198" s="46"/>
    </row>
    <row r="199" spans="2:39" ht="18">
      <c r="B199" s="144" t="s">
        <v>106</v>
      </c>
      <c r="C199" s="144">
        <f>C78</f>
        <v>92</v>
      </c>
      <c r="D199" s="116"/>
      <c r="E199" s="116"/>
      <c r="F199" s="116"/>
      <c r="G199" s="116"/>
      <c r="H199" s="116"/>
      <c r="S199" s="46"/>
    </row>
    <row r="200" spans="2:39" ht="18">
      <c r="B200" s="49" t="s">
        <v>117</v>
      </c>
      <c r="C200" s="117"/>
      <c r="D200" s="117"/>
      <c r="E200" s="117"/>
      <c r="F200" s="117"/>
      <c r="G200" s="117"/>
      <c r="H200" s="117"/>
      <c r="I200" s="349" t="s">
        <v>70</v>
      </c>
      <c r="J200" s="350"/>
      <c r="K200" s="351" t="s">
        <v>71</v>
      </c>
      <c r="L200" s="351"/>
      <c r="M200" s="351"/>
      <c r="N200" s="351"/>
      <c r="O200" s="351"/>
      <c r="P200" s="351"/>
      <c r="Q200" s="351"/>
      <c r="R200" s="351"/>
      <c r="S200" s="352" t="s">
        <v>72</v>
      </c>
      <c r="T200" s="352"/>
      <c r="U200" s="352"/>
      <c r="V200" s="352"/>
      <c r="W200" s="352"/>
      <c r="X200" s="353" t="s">
        <v>73</v>
      </c>
      <c r="Y200" s="354"/>
      <c r="Z200" s="354"/>
      <c r="AA200" s="355"/>
      <c r="AB200" s="356" t="s">
        <v>105</v>
      </c>
      <c r="AC200" s="357"/>
      <c r="AD200" s="357"/>
      <c r="AE200" s="358"/>
      <c r="AF200" s="348" t="s">
        <v>111</v>
      </c>
      <c r="AG200" s="348"/>
      <c r="AH200" s="348"/>
      <c r="AI200" s="348"/>
      <c r="AJ200" s="348"/>
      <c r="AK200" s="348"/>
      <c r="AL200" s="348"/>
      <c r="AM200" s="348"/>
    </row>
    <row r="201" spans="2:39" ht="28.5">
      <c r="B201" s="38" t="s">
        <v>76</v>
      </c>
      <c r="C201" s="129" t="s">
        <v>23</v>
      </c>
      <c r="D201" s="129" t="s">
        <v>24</v>
      </c>
      <c r="E201" s="129" t="s">
        <v>77</v>
      </c>
      <c r="F201" s="129" t="s">
        <v>78</v>
      </c>
      <c r="G201" s="129" t="s">
        <v>79</v>
      </c>
      <c r="H201" s="129" t="s">
        <v>80</v>
      </c>
      <c r="I201" s="39" t="s">
        <v>81</v>
      </c>
      <c r="J201" s="39" t="s">
        <v>82</v>
      </c>
      <c r="K201" s="39" t="s">
        <v>83</v>
      </c>
      <c r="L201" s="39" t="s">
        <v>112</v>
      </c>
      <c r="M201" s="39" t="s">
        <v>240</v>
      </c>
      <c r="N201" s="39" t="s">
        <v>248</v>
      </c>
      <c r="O201" s="39" t="s">
        <v>85</v>
      </c>
      <c r="P201" s="39" t="s">
        <v>86</v>
      </c>
      <c r="Q201" s="39" t="s">
        <v>87</v>
      </c>
      <c r="R201" s="39" t="s">
        <v>88</v>
      </c>
      <c r="S201" s="39" t="s">
        <v>89</v>
      </c>
      <c r="T201" s="39" t="s">
        <v>85</v>
      </c>
      <c r="U201" s="39" t="s">
        <v>86</v>
      </c>
      <c r="V201" s="39" t="s">
        <v>87</v>
      </c>
      <c r="W201" s="39" t="s">
        <v>88</v>
      </c>
      <c r="X201" s="39" t="s">
        <v>90</v>
      </c>
      <c r="Y201" s="39" t="s">
        <v>91</v>
      </c>
      <c r="Z201" s="39" t="s">
        <v>92</v>
      </c>
      <c r="AA201" s="39" t="s">
        <v>93</v>
      </c>
      <c r="AB201" s="39" t="s">
        <v>85</v>
      </c>
      <c r="AC201" s="39" t="s">
        <v>86</v>
      </c>
      <c r="AD201" s="39" t="s">
        <v>87</v>
      </c>
      <c r="AE201" s="39" t="s">
        <v>88</v>
      </c>
      <c r="AF201" s="39" t="s">
        <v>94</v>
      </c>
      <c r="AG201" s="39" t="s">
        <v>113</v>
      </c>
      <c r="AH201" s="39" t="s">
        <v>242</v>
      </c>
      <c r="AI201" s="39" t="s">
        <v>242</v>
      </c>
      <c r="AJ201" s="39" t="s">
        <v>243</v>
      </c>
      <c r="AK201" s="39" t="s">
        <v>243</v>
      </c>
      <c r="AL201" s="39" t="s">
        <v>114</v>
      </c>
      <c r="AM201" s="39" t="s">
        <v>115</v>
      </c>
    </row>
    <row r="202" spans="2:39">
      <c r="B202" s="38"/>
      <c r="C202" s="132" t="s">
        <v>98</v>
      </c>
      <c r="D202" s="130" t="s">
        <v>98</v>
      </c>
      <c r="E202" s="131"/>
      <c r="F202" s="131"/>
      <c r="G202" s="131"/>
      <c r="H202" s="131"/>
      <c r="I202" s="39" t="s">
        <v>99</v>
      </c>
      <c r="J202" s="39" t="s">
        <v>99</v>
      </c>
      <c r="K202" s="39" t="s">
        <v>100</v>
      </c>
      <c r="L202" s="39" t="s">
        <v>101</v>
      </c>
      <c r="M202" s="39" t="s">
        <v>101</v>
      </c>
      <c r="N202" s="39" t="s">
        <v>101</v>
      </c>
      <c r="O202" s="39" t="s">
        <v>100</v>
      </c>
      <c r="P202" s="39" t="s">
        <v>100</v>
      </c>
      <c r="Q202" s="39" t="s">
        <v>100</v>
      </c>
      <c r="R202" s="39" t="s">
        <v>100</v>
      </c>
      <c r="S202" s="39" t="s">
        <v>100</v>
      </c>
      <c r="T202" s="39" t="s">
        <v>100</v>
      </c>
      <c r="U202" s="39" t="s">
        <v>100</v>
      </c>
      <c r="V202" s="39" t="s">
        <v>100</v>
      </c>
      <c r="W202" s="39" t="s">
        <v>100</v>
      </c>
      <c r="X202" s="39" t="s">
        <v>102</v>
      </c>
      <c r="Y202" s="39" t="s">
        <v>98</v>
      </c>
      <c r="Z202" s="39" t="s">
        <v>98</v>
      </c>
      <c r="AA202" s="39" t="s">
        <v>100</v>
      </c>
      <c r="AB202" s="39" t="s">
        <v>100</v>
      </c>
      <c r="AC202" s="39" t="s">
        <v>100</v>
      </c>
      <c r="AD202" s="39" t="s">
        <v>100</v>
      </c>
      <c r="AE202" s="39" t="s">
        <v>100</v>
      </c>
      <c r="AF202" s="39" t="s">
        <v>67</v>
      </c>
      <c r="AG202" s="39" t="s">
        <v>67</v>
      </c>
      <c r="AH202" s="39" t="s">
        <v>100</v>
      </c>
      <c r="AI202" s="39" t="s">
        <v>67</v>
      </c>
      <c r="AJ202" s="39" t="s">
        <v>100</v>
      </c>
      <c r="AK202" s="39" t="s">
        <v>67</v>
      </c>
      <c r="AL202" s="39" t="s">
        <v>67</v>
      </c>
      <c r="AM202" s="39" t="s">
        <v>67</v>
      </c>
    </row>
    <row r="203" spans="2:39">
      <c r="B203" s="41" t="s">
        <v>20</v>
      </c>
      <c r="C203" s="119"/>
      <c r="D203" s="119"/>
      <c r="E203" s="119"/>
      <c r="F203" s="119"/>
      <c r="G203" s="119"/>
      <c r="H203" s="119"/>
      <c r="I203" s="42">
        <f t="shared" ref="I203:J203" si="136">SUM(I204:I227)</f>
        <v>1.0000000000000002</v>
      </c>
      <c r="J203" s="42">
        <f t="shared" si="136"/>
        <v>1</v>
      </c>
      <c r="K203" s="43">
        <f>SUM(K204:K227)</f>
        <v>19.327175695886158</v>
      </c>
      <c r="L203" s="155">
        <f>SUM(L204:L227)/24</f>
        <v>0</v>
      </c>
      <c r="M203" s="43"/>
      <c r="N203" s="340">
        <f>AVERAGE(N204:N227)</f>
        <v>0</v>
      </c>
      <c r="O203" s="43">
        <f>SUM(O204:O227)</f>
        <v>25.533347966130908</v>
      </c>
      <c r="P203" s="43">
        <f>SUM(P204:P227)</f>
        <v>12.889418356959718</v>
      </c>
      <c r="Q203" s="43">
        <f t="shared" ref="Q203" si="137">SUM(Q204:Q227)</f>
        <v>19.095590627204473</v>
      </c>
      <c r="R203" s="43">
        <f t="shared" ref="R203" si="138">SUM(R204:R227)</f>
        <v>6.4377573389264375</v>
      </c>
      <c r="S203" s="43">
        <f t="shared" ref="S203" si="139">SUM(S204:S227)</f>
        <v>0</v>
      </c>
      <c r="T203" s="43">
        <f>SUM(T204:T227)</f>
        <v>25.533347966130908</v>
      </c>
      <c r="U203" s="43">
        <f>SUM(U204:U227)</f>
        <v>12.889418356959718</v>
      </c>
      <c r="V203" s="43">
        <f>SUM(V204:V227)</f>
        <v>19.095590627204473</v>
      </c>
      <c r="W203" s="43">
        <f>SUM(W204:W227)</f>
        <v>6.4377573389264375</v>
      </c>
      <c r="X203" s="43">
        <f>AVERAGEIFS(X204:X227,V204:V227,"&gt;0")</f>
        <v>8.2853286223484321</v>
      </c>
      <c r="Y203" s="43">
        <f>AVERAGEIFS(Y204:Y227,V204:V227,"&gt;0")</f>
        <v>3.1484248764924043</v>
      </c>
      <c r="Z203" s="171">
        <f>AVERAGEIFS(Z204:Z227,V204:V227,"&gt;0")</f>
        <v>223.14842487649238</v>
      </c>
      <c r="AA203" s="43">
        <f t="shared" ref="AA203:AE203" si="140">SUM(AA204:AA227)</f>
        <v>0</v>
      </c>
      <c r="AB203" s="43">
        <f t="shared" si="140"/>
        <v>25.533347966130908</v>
      </c>
      <c r="AC203" s="43">
        <f t="shared" si="140"/>
        <v>12.889418356959718</v>
      </c>
      <c r="AD203" s="43">
        <f t="shared" si="140"/>
        <v>19.095590627204473</v>
      </c>
      <c r="AE203" s="43">
        <f t="shared" si="140"/>
        <v>6.4377573389264375</v>
      </c>
      <c r="AF203" s="43">
        <f t="shared" ref="AF203" si="141">SUM(AF204:AF227)</f>
        <v>0</v>
      </c>
      <c r="AG203" s="43">
        <f t="shared" ref="AG203:AK203" si="142">SUM(AG204:AG227)</f>
        <v>0</v>
      </c>
      <c r="AH203" s="43">
        <f t="shared" si="142"/>
        <v>0</v>
      </c>
      <c r="AI203" s="43">
        <f t="shared" si="142"/>
        <v>0</v>
      </c>
      <c r="AJ203" s="43">
        <f t="shared" si="142"/>
        <v>0</v>
      </c>
      <c r="AK203" s="43">
        <f t="shared" si="142"/>
        <v>0</v>
      </c>
      <c r="AL203" s="43">
        <f t="shared" ref="AL203" si="143">SUM(AL204:AL227)</f>
        <v>1.1695300600358003</v>
      </c>
      <c r="AM203" s="43">
        <f t="shared" ref="AM203" si="144">SUM(AM204:AM227)</f>
        <v>0.51104305037862696</v>
      </c>
    </row>
    <row r="204" spans="2:39">
      <c r="B204" s="134">
        <v>0</v>
      </c>
      <c r="C204" s="123">
        <f>Profiles!E32</f>
        <v>255</v>
      </c>
      <c r="D204" s="126">
        <f>IF(C204&lt;Inputs!$B$7,Inputs!$B$6,C204)</f>
        <v>220</v>
      </c>
      <c r="E204" s="127">
        <f>IF(VLOOKUP(K83,Profiles!$B$58:$C$88,2,TRUE)&gt;0,VLOOKUP(K83,Profiles!$B$58:$C$88,2,TRUE),0)</f>
        <v>0.92</v>
      </c>
      <c r="F204" s="127">
        <f>(C204-D204)/C204</f>
        <v>0.13725490196078433</v>
      </c>
      <c r="G204" s="127">
        <f>F204*Inputs!$B$11</f>
        <v>0.12490196078431375</v>
      </c>
      <c r="H204" s="127">
        <f>IFERROR(((G204-1)/E204+1),0)</f>
        <v>4.8806479113384538E-2</v>
      </c>
      <c r="I204" s="45">
        <f>Profiles!I6</f>
        <v>0.01</v>
      </c>
      <c r="J204" s="45">
        <f>Profiles!F32</f>
        <v>0</v>
      </c>
      <c r="K204" s="46">
        <f>IF(AND(H204&gt;0,K83&lt;Inputs!$B$15),K83*(1-H204),K83)</f>
        <v>0.20409304459023683</v>
      </c>
      <c r="L204" s="46">
        <f>IF(D204=C204,1,0)</f>
        <v>0</v>
      </c>
      <c r="M204" s="114">
        <f>IF(Inputs!$B$26="Yes",VLOOKUP(D204,VWR[#All],2,FALSE),1)</f>
        <v>1</v>
      </c>
      <c r="N204" s="114">
        <f>IF(Inputs!$B$27="Yes",VLOOKUP(D204,VVR[#All],2,FALSE),0)</f>
        <v>0</v>
      </c>
      <c r="O204" s="46">
        <f>(J83*Inputs!$B$18*Inputs!$B$43/$C$78)*M204</f>
        <v>0</v>
      </c>
      <c r="P204" s="46">
        <f>IF(O204&gt;K204,0,K204-O204)</f>
        <v>0.20409304459023683</v>
      </c>
      <c r="Q204" s="46">
        <f>IF(O204&gt;K204,MIN((O204-K204),5),0)</f>
        <v>0</v>
      </c>
      <c r="R204" s="46">
        <f>IF(O204&gt;K204,K204,O204)</f>
        <v>0</v>
      </c>
      <c r="S204" s="103">
        <f>IF(D204&gt;255,O204,0)</f>
        <v>0</v>
      </c>
      <c r="T204" s="46">
        <f>O204-S204</f>
        <v>0</v>
      </c>
      <c r="U204" s="46">
        <f t="shared" ref="U204:U227" si="145">IF(T204&gt;K204,0,K204-T204)</f>
        <v>0.20409304459023683</v>
      </c>
      <c r="V204" s="46">
        <f>IF(T204&gt;K204,MIN((T204-K204),5),0)</f>
        <v>0</v>
      </c>
      <c r="W204" s="46">
        <f t="shared" ref="W204:W227" si="146">IF(T204&gt;K204,K204,T204)</f>
        <v>0</v>
      </c>
      <c r="X204" s="103">
        <f t="shared" ref="X204:X227" si="147">V204*1000/C204</f>
        <v>0</v>
      </c>
      <c r="Y204" s="46">
        <f>X204*Inputs!$B$8</f>
        <v>0</v>
      </c>
      <c r="Z204" s="170">
        <f>Y204+D204</f>
        <v>220</v>
      </c>
      <c r="AA204" s="104">
        <f>IF(AND(Z204&gt;=255,C204&lt;=Inputs!$B$7,V204&gt;0),(($AN$22-$AN$21)/($AM$22-$AM$21)*(Z204-$AM$21)+$AN$21)*T204,0)</f>
        <v>0</v>
      </c>
      <c r="AB204" s="104">
        <f t="shared" ref="AB204:AB227" si="148">T204-AA204</f>
        <v>0</v>
      </c>
      <c r="AC204" s="46">
        <f t="shared" ref="AC204:AC227" si="149">IF(AB204&gt;K204,0,K204-AB204)</f>
        <v>0.20409304459023683</v>
      </c>
      <c r="AD204" s="46">
        <f>IF(AB204&gt;K204,MIN((AB204-K204),5),0)</f>
        <v>0</v>
      </c>
      <c r="AE204" s="46">
        <f t="shared" ref="AE204:AE227" si="150">IF(AB204&gt;K204,K204,AB204)</f>
        <v>0</v>
      </c>
      <c r="AF204" s="103">
        <f>IF(S204&gt;0,(((R204/O204)*S204)*Inputs!$B$12)+((Q204/O204)*S204)*Inputs!$B$23,0)</f>
        <v>0</v>
      </c>
      <c r="AG204" s="103">
        <f>IF(AA204&gt;0,(((W204/T204)*AA204)*Inputs!$B$12)+((V204/T204)*AA204)*Inputs!$B$23,0)</f>
        <v>0</v>
      </c>
      <c r="AH204" s="331">
        <f>IF(AB204&gt;0,((J204*Inputs!$B$18*Inputs!$B$43/$C$78)-O204),0)</f>
        <v>0</v>
      </c>
      <c r="AI204" s="331">
        <f>IFERROR(((R204/O204)*AH204)*((Inputs!$B$12)+(((Q204/O204)*AH204)*Inputs!$B$23)),0)</f>
        <v>0</v>
      </c>
      <c r="AJ204" s="255"/>
      <c r="AK204" s="255"/>
      <c r="AL204" s="255">
        <f>IF(O204&gt;0,((R204/O204)*(O204-O83)*Inputs!$B$12)+((Q204/O204)*(O204-O83)*Inputs!$B$23),0)</f>
        <v>0</v>
      </c>
      <c r="AM204" s="103">
        <f>(K83-K204)*Inputs!$B$12</f>
        <v>2.5133214722562048E-3</v>
      </c>
    </row>
    <row r="205" spans="2:39">
      <c r="B205" s="134">
        <v>4.1666666666666664E-2</v>
      </c>
      <c r="C205" s="124">
        <f>Profiles!E33</f>
        <v>255</v>
      </c>
      <c r="D205" s="126">
        <f>IF(C205&lt;Inputs!$B$7,Inputs!$B$6,C205)</f>
        <v>220</v>
      </c>
      <c r="E205" s="127">
        <f>IF(VLOOKUP(K84,Profiles!$B$58:$C$88,2,TRUE)&gt;0,VLOOKUP(K84,Profiles!$B$58:$C$88,2,TRUE),0)</f>
        <v>0.92</v>
      </c>
      <c r="F205" s="127">
        <f t="shared" ref="F205:F227" si="151">(C205-D205)/C205</f>
        <v>0.13725490196078433</v>
      </c>
      <c r="G205" s="127">
        <f>F205*Inputs!$B$11</f>
        <v>0.12490196078431375</v>
      </c>
      <c r="H205" s="127">
        <f>IFERROR(((G205-1)/E205+1),0)</f>
        <v>4.8806479113384538E-2</v>
      </c>
      <c r="I205" s="45">
        <f>Profiles!I7</f>
        <v>0.01</v>
      </c>
      <c r="J205" s="45">
        <f>Profiles!F33</f>
        <v>0</v>
      </c>
      <c r="K205" s="46">
        <f>IF(AND(H205&gt;0,K84&lt;Inputs!$B$15),K84*(1-H205),K84)</f>
        <v>0.20409304459023683</v>
      </c>
      <c r="L205" s="46">
        <f t="shared" ref="L205:L227" si="152">IF(D205=C205,1,0)</f>
        <v>0</v>
      </c>
      <c r="M205" s="114">
        <f>IF(Inputs!$B$26="Yes",VLOOKUP(D205,VWR[#All],2,FALSE),1)</f>
        <v>1</v>
      </c>
      <c r="N205" s="114">
        <f>IF(Inputs!$B$27="Yes",VLOOKUP(D205,VVR[#All],2,FALSE),0)</f>
        <v>0</v>
      </c>
      <c r="O205" s="46">
        <f>(J84*Inputs!$B$18*Inputs!$B$43/$C$78)*M205</f>
        <v>0</v>
      </c>
      <c r="P205" s="46">
        <f t="shared" ref="P205:P227" si="153">IF(O205&gt;K205,0,K205-O205)</f>
        <v>0.20409304459023683</v>
      </c>
      <c r="Q205" s="46">
        <f t="shared" ref="Q205:Q227" si="154">IF(O205&gt;K205,MIN((O205-K205),5),0)</f>
        <v>0</v>
      </c>
      <c r="R205" s="46">
        <f t="shared" ref="R205:R227" si="155">IF(O205&gt;K205,K205,O205)</f>
        <v>0</v>
      </c>
      <c r="S205" s="103">
        <f t="shared" ref="S205:S227" si="156">IF(D205&gt;255,O205,0)</f>
        <v>0</v>
      </c>
      <c r="T205" s="46">
        <f t="shared" ref="T205:T227" si="157">O205-S205</f>
        <v>0</v>
      </c>
      <c r="U205" s="46">
        <f t="shared" si="145"/>
        <v>0.20409304459023683</v>
      </c>
      <c r="V205" s="46">
        <f t="shared" ref="V205:V227" si="158">IF(T205&gt;K205,MIN((T205-K205),5),0)</f>
        <v>0</v>
      </c>
      <c r="W205" s="46">
        <f t="shared" si="146"/>
        <v>0</v>
      </c>
      <c r="X205" s="103">
        <f t="shared" si="147"/>
        <v>0</v>
      </c>
      <c r="Y205" s="46">
        <f>X205*Inputs!$B$8</f>
        <v>0</v>
      </c>
      <c r="Z205" s="170">
        <f t="shared" ref="Z205:Z227" si="159">Y205+D205</f>
        <v>220</v>
      </c>
      <c r="AA205" s="104">
        <f>IF(AND(Z205&gt;=255,C205&lt;=Inputs!$B$7,V205&gt;0),(($AN$22-$AN$21)/($AM$22-$AM$21)*(Z205-$AM$21)+$AN$21)*O205,0)</f>
        <v>0</v>
      </c>
      <c r="AB205" s="104">
        <f t="shared" si="148"/>
        <v>0</v>
      </c>
      <c r="AC205" s="46">
        <f t="shared" si="149"/>
        <v>0.20409304459023683</v>
      </c>
      <c r="AD205" s="46">
        <f t="shared" ref="AD205:AD227" si="160">IF(AB205&gt;K205,MIN((AB205-K205),5),0)</f>
        <v>0</v>
      </c>
      <c r="AE205" s="46">
        <f t="shared" si="150"/>
        <v>0</v>
      </c>
      <c r="AF205" s="103">
        <f>IF(S205&gt;0,(((R205/O205)*S205)*Inputs!$B$12)+((Q205/O205)*S205)*Inputs!$B$23,0)</f>
        <v>0</v>
      </c>
      <c r="AG205" s="103">
        <f>IF(AA205&gt;0,(((W205/T205)*AA205)*Inputs!$B$12)+((V205/T205)*AA205)*Inputs!$B$23,0)</f>
        <v>0</v>
      </c>
      <c r="AH205" s="331">
        <f>IF(AB205&gt;0,((J205*Inputs!$B$18*Inputs!$B$43/$C$78)-O205),0)</f>
        <v>0</v>
      </c>
      <c r="AI205" s="331">
        <f>IFERROR(((R205/O205)*AH205)*((Inputs!$B$12)+(((Q205/O205)*AH205)*Inputs!$B$23)),0)</f>
        <v>0</v>
      </c>
      <c r="AJ205" s="255"/>
      <c r="AK205" s="255"/>
      <c r="AL205" s="255">
        <f>IF(O205&gt;0,((R205/O205)*(O205-O84)*Inputs!$B$12)+((Q205/O205)*(O205-O84)*Inputs!$B$23),0)</f>
        <v>0</v>
      </c>
      <c r="AM205" s="103">
        <f>(K84-K205)*Inputs!$B$12</f>
        <v>2.5133214722562048E-3</v>
      </c>
    </row>
    <row r="206" spans="2:39">
      <c r="B206" s="134">
        <v>8.3333333333333329E-2</v>
      </c>
      <c r="C206" s="125">
        <f>Profiles!E34</f>
        <v>255</v>
      </c>
      <c r="D206" s="126">
        <f>IF(C206&lt;Inputs!$B$7,Inputs!$B$6,C206)</f>
        <v>220</v>
      </c>
      <c r="E206" s="127">
        <f>IF(VLOOKUP(K85,Profiles!$B$58:$C$88,2,TRUE)&gt;0,VLOOKUP(K85,Profiles!$B$58:$C$88,2,TRUE),0)</f>
        <v>0.92</v>
      </c>
      <c r="F206" s="127">
        <f t="shared" si="151"/>
        <v>0.13725490196078433</v>
      </c>
      <c r="G206" s="127">
        <f>F206*Inputs!$B$11</f>
        <v>0.12490196078431375</v>
      </c>
      <c r="H206" s="127">
        <f t="shared" ref="H206:H227" si="161">IFERROR(((G206-1)/E206+1),0)</f>
        <v>4.8806479113384538E-2</v>
      </c>
      <c r="I206" s="45">
        <f>Profiles!I8</f>
        <v>0.01</v>
      </c>
      <c r="J206" s="45">
        <f>Profiles!F34</f>
        <v>0</v>
      </c>
      <c r="K206" s="46">
        <f>IF(AND(H206&gt;0,K85&lt;Inputs!$B$15),K85*(1-H206),K85)</f>
        <v>0.20409304459023683</v>
      </c>
      <c r="L206" s="46">
        <f t="shared" si="152"/>
        <v>0</v>
      </c>
      <c r="M206" s="114">
        <f>IF(Inputs!$B$26="Yes",VLOOKUP(D206,VWR[#All],2,FALSE),1)</f>
        <v>1</v>
      </c>
      <c r="N206" s="114">
        <f>IF(Inputs!$B$27="Yes",VLOOKUP(D206,VVR[#All],2,FALSE),0)</f>
        <v>0</v>
      </c>
      <c r="O206" s="46">
        <f>(J85*Inputs!$B$18*Inputs!$B$43/$C$78)*M206</f>
        <v>0</v>
      </c>
      <c r="P206" s="46">
        <f t="shared" si="153"/>
        <v>0.20409304459023683</v>
      </c>
      <c r="Q206" s="46">
        <f t="shared" si="154"/>
        <v>0</v>
      </c>
      <c r="R206" s="46">
        <f t="shared" si="155"/>
        <v>0</v>
      </c>
      <c r="S206" s="103">
        <f t="shared" si="156"/>
        <v>0</v>
      </c>
      <c r="T206" s="46">
        <f t="shared" si="157"/>
        <v>0</v>
      </c>
      <c r="U206" s="46">
        <f t="shared" si="145"/>
        <v>0.20409304459023683</v>
      </c>
      <c r="V206" s="46">
        <f t="shared" si="158"/>
        <v>0</v>
      </c>
      <c r="W206" s="46">
        <f t="shared" si="146"/>
        <v>0</v>
      </c>
      <c r="X206" s="103">
        <f t="shared" si="147"/>
        <v>0</v>
      </c>
      <c r="Y206" s="46">
        <f>X206*Inputs!$B$8</f>
        <v>0</v>
      </c>
      <c r="Z206" s="170">
        <f t="shared" si="159"/>
        <v>220</v>
      </c>
      <c r="AA206" s="104">
        <f>IF(AND(Z206&gt;=255,C206&lt;=Inputs!$B$7,V206&gt;0),(($AN$22-$AN$21)/($AM$22-$AM$21)*(Z206-$AM$21)+$AN$21)*O206,0)</f>
        <v>0</v>
      </c>
      <c r="AB206" s="104">
        <f t="shared" si="148"/>
        <v>0</v>
      </c>
      <c r="AC206" s="46">
        <f t="shared" si="149"/>
        <v>0.20409304459023683</v>
      </c>
      <c r="AD206" s="46">
        <f t="shared" si="160"/>
        <v>0</v>
      </c>
      <c r="AE206" s="46">
        <f t="shared" si="150"/>
        <v>0</v>
      </c>
      <c r="AF206" s="103">
        <f>IF(S206&gt;0,(((R206/O206)*S206)*Inputs!$B$12)+((Q206/O206)*S206)*Inputs!$B$23,0)</f>
        <v>0</v>
      </c>
      <c r="AG206" s="103">
        <f>IF(AA206&gt;0,(((W206/T206)*AA206)*Inputs!$B$12)+((V206/T206)*AA206)*Inputs!$B$23,0)</f>
        <v>0</v>
      </c>
      <c r="AH206" s="331">
        <f>IF(AB206&gt;0,((J206*Inputs!$B$18*Inputs!$B$43/$C$78)-O206),0)</f>
        <v>0</v>
      </c>
      <c r="AI206" s="331">
        <f>IFERROR(((R206/O206)*AH206)*((Inputs!$B$12)+(((Q206/O206)*AH206)*Inputs!$B$23)),0)</f>
        <v>0</v>
      </c>
      <c r="AJ206" s="255"/>
      <c r="AK206" s="255"/>
      <c r="AL206" s="255">
        <f>IF(O206&gt;0,((R206/O206)*(O206-O85)*Inputs!$B$12)+((Q206/O206)*(O206-O85)*Inputs!$B$23),0)</f>
        <v>0</v>
      </c>
      <c r="AM206" s="103">
        <f>(K85-K206)*Inputs!$B$12</f>
        <v>2.5133214722562048E-3</v>
      </c>
    </row>
    <row r="207" spans="2:39">
      <c r="B207" s="134">
        <v>0.125</v>
      </c>
      <c r="C207" s="125">
        <f>Profiles!E35</f>
        <v>255</v>
      </c>
      <c r="D207" s="126">
        <f>IF(C207&lt;Inputs!$B$7,Inputs!$B$6,C207)</f>
        <v>220</v>
      </c>
      <c r="E207" s="127">
        <f>IF(VLOOKUP(K86,Profiles!$B$58:$C$88,2,TRUE)&gt;0,VLOOKUP(K86,Profiles!$B$58:$C$88,2,TRUE),0)</f>
        <v>0.92</v>
      </c>
      <c r="F207" s="127">
        <f t="shared" si="151"/>
        <v>0.13725490196078433</v>
      </c>
      <c r="G207" s="127">
        <f>F207*Inputs!$B$11</f>
        <v>0.12490196078431375</v>
      </c>
      <c r="H207" s="127">
        <f t="shared" si="161"/>
        <v>4.8806479113384538E-2</v>
      </c>
      <c r="I207" s="45">
        <f>Profiles!I9</f>
        <v>0.01</v>
      </c>
      <c r="J207" s="45">
        <f>Profiles!F35</f>
        <v>0</v>
      </c>
      <c r="K207" s="46">
        <f>IF(AND(H207&gt;0,K86&lt;Inputs!$B$15),K86*(1-H207),K86)</f>
        <v>0.20409304459023683</v>
      </c>
      <c r="L207" s="46">
        <f t="shared" si="152"/>
        <v>0</v>
      </c>
      <c r="M207" s="114">
        <f>IF(Inputs!$B$26="Yes",VLOOKUP(D207,VWR[#All],2,FALSE),1)</f>
        <v>1</v>
      </c>
      <c r="N207" s="114">
        <f>IF(Inputs!$B$27="Yes",VLOOKUP(D207,VVR[#All],2,FALSE),0)</f>
        <v>0</v>
      </c>
      <c r="O207" s="46">
        <f>(J86*Inputs!$B$18*Inputs!$B$43/$C$78)*M207</f>
        <v>0</v>
      </c>
      <c r="P207" s="46">
        <f t="shared" si="153"/>
        <v>0.20409304459023683</v>
      </c>
      <c r="Q207" s="46">
        <f t="shared" si="154"/>
        <v>0</v>
      </c>
      <c r="R207" s="46">
        <f t="shared" si="155"/>
        <v>0</v>
      </c>
      <c r="S207" s="103">
        <f t="shared" si="156"/>
        <v>0</v>
      </c>
      <c r="T207" s="46">
        <f t="shared" si="157"/>
        <v>0</v>
      </c>
      <c r="U207" s="46">
        <f t="shared" si="145"/>
        <v>0.20409304459023683</v>
      </c>
      <c r="V207" s="46">
        <f t="shared" si="158"/>
        <v>0</v>
      </c>
      <c r="W207" s="46">
        <f t="shared" si="146"/>
        <v>0</v>
      </c>
      <c r="X207" s="103">
        <f t="shared" si="147"/>
        <v>0</v>
      </c>
      <c r="Y207" s="46">
        <f>X207*Inputs!$B$8</f>
        <v>0</v>
      </c>
      <c r="Z207" s="170">
        <f t="shared" si="159"/>
        <v>220</v>
      </c>
      <c r="AA207" s="104">
        <f>IF(AND(Z207&gt;=255,C207&lt;=Inputs!$B$7,V207&gt;0),(($AN$22-$AN$21)/($AM$22-$AM$21)*(Z207-$AM$21)+$AN$21)*O207,0)</f>
        <v>0</v>
      </c>
      <c r="AB207" s="104">
        <f t="shared" si="148"/>
        <v>0</v>
      </c>
      <c r="AC207" s="46">
        <f t="shared" si="149"/>
        <v>0.20409304459023683</v>
      </c>
      <c r="AD207" s="46">
        <f t="shared" si="160"/>
        <v>0</v>
      </c>
      <c r="AE207" s="46">
        <f t="shared" si="150"/>
        <v>0</v>
      </c>
      <c r="AF207" s="103">
        <f>IF(S207&gt;0,(((R207/O207)*S207)*Inputs!$B$12)+((Q207/O207)*S207)*Inputs!$B$23,0)</f>
        <v>0</v>
      </c>
      <c r="AG207" s="103">
        <f>IF(AA207&gt;0,(((W207/T207)*AA207)*Inputs!$B$12)+((V207/T207)*AA207)*Inputs!$B$23,0)</f>
        <v>0</v>
      </c>
      <c r="AH207" s="331">
        <f>IF(AB207&gt;0,((J207*Inputs!$B$18*Inputs!$B$43/$C$78)-O207),0)</f>
        <v>0</v>
      </c>
      <c r="AI207" s="331">
        <f>IFERROR(((R207/O207)*AH207)*((Inputs!$B$12)+(((Q207/O207)*AH207)*Inputs!$B$23)),0)</f>
        <v>0</v>
      </c>
      <c r="AJ207" s="255"/>
      <c r="AK207" s="255"/>
      <c r="AL207" s="255">
        <f>IF(O207&gt;0,((R207/O207)*(O207-O86)*Inputs!$B$12)+((Q207/O207)*(O207-O86)*Inputs!$B$23),0)</f>
        <v>0</v>
      </c>
      <c r="AM207" s="103">
        <f>(K86-K207)*Inputs!$B$12</f>
        <v>2.5133214722562048E-3</v>
      </c>
    </row>
    <row r="208" spans="2:39">
      <c r="B208" s="134">
        <v>0.16666666666666699</v>
      </c>
      <c r="C208" s="125">
        <f>Profiles!E36</f>
        <v>255</v>
      </c>
      <c r="D208" s="126">
        <f>IF(C208&lt;Inputs!$B$7,Inputs!$B$6,C208)</f>
        <v>220</v>
      </c>
      <c r="E208" s="127">
        <f>IF(VLOOKUP(K87,Profiles!$B$58:$C$88,2,TRUE)&gt;0,VLOOKUP(K87,Profiles!$B$58:$C$88,2,TRUE),0)</f>
        <v>0.92</v>
      </c>
      <c r="F208" s="127">
        <f t="shared" si="151"/>
        <v>0.13725490196078433</v>
      </c>
      <c r="G208" s="127">
        <f>F208*Inputs!$B$11</f>
        <v>0.12490196078431375</v>
      </c>
      <c r="H208" s="127">
        <f t="shared" si="161"/>
        <v>4.8806479113384538E-2</v>
      </c>
      <c r="I208" s="45">
        <f>Profiles!I10</f>
        <v>0.01</v>
      </c>
      <c r="J208" s="45">
        <f>Profiles!F36</f>
        <v>0</v>
      </c>
      <c r="K208" s="46">
        <f>IF(AND(H208&gt;0,K87&lt;Inputs!$B$15),K87*(1-H208),K87)</f>
        <v>0.20409304459023683</v>
      </c>
      <c r="L208" s="46">
        <f t="shared" si="152"/>
        <v>0</v>
      </c>
      <c r="M208" s="114">
        <f>IF(Inputs!$B$26="Yes",VLOOKUP(D208,VWR[#All],2,FALSE),1)</f>
        <v>1</v>
      </c>
      <c r="N208" s="114">
        <f>IF(Inputs!$B$27="Yes",VLOOKUP(D208,VVR[#All],2,FALSE),0)</f>
        <v>0</v>
      </c>
      <c r="O208" s="46">
        <f>(J87*Inputs!$B$18*Inputs!$B$43/$C$78)*M208</f>
        <v>0</v>
      </c>
      <c r="P208" s="46">
        <f t="shared" si="153"/>
        <v>0.20409304459023683</v>
      </c>
      <c r="Q208" s="46">
        <f t="shared" si="154"/>
        <v>0</v>
      </c>
      <c r="R208" s="46">
        <f t="shared" si="155"/>
        <v>0</v>
      </c>
      <c r="S208" s="103">
        <f t="shared" si="156"/>
        <v>0</v>
      </c>
      <c r="T208" s="46">
        <f t="shared" si="157"/>
        <v>0</v>
      </c>
      <c r="U208" s="46">
        <f t="shared" si="145"/>
        <v>0.20409304459023683</v>
      </c>
      <c r="V208" s="46">
        <f t="shared" si="158"/>
        <v>0</v>
      </c>
      <c r="W208" s="46">
        <f t="shared" si="146"/>
        <v>0</v>
      </c>
      <c r="X208" s="103">
        <f t="shared" si="147"/>
        <v>0</v>
      </c>
      <c r="Y208" s="46">
        <f>X208*Inputs!$B$8</f>
        <v>0</v>
      </c>
      <c r="Z208" s="170">
        <f t="shared" si="159"/>
        <v>220</v>
      </c>
      <c r="AA208" s="104">
        <f>IF(AND(Z208&gt;=255,C208&lt;=Inputs!$B$7,V208&gt;0),(($AN$22-$AN$21)/($AM$22-$AM$21)*(Z208-$AM$21)+$AN$21)*O208,0)</f>
        <v>0</v>
      </c>
      <c r="AB208" s="104">
        <f t="shared" si="148"/>
        <v>0</v>
      </c>
      <c r="AC208" s="46">
        <f t="shared" si="149"/>
        <v>0.20409304459023683</v>
      </c>
      <c r="AD208" s="46">
        <f t="shared" si="160"/>
        <v>0</v>
      </c>
      <c r="AE208" s="46">
        <f t="shared" si="150"/>
        <v>0</v>
      </c>
      <c r="AF208" s="103">
        <f>IF(S208&gt;0,(((R208/O208)*S208)*Inputs!$B$12)+((Q208/O208)*S208)*Inputs!$B$23,0)</f>
        <v>0</v>
      </c>
      <c r="AG208" s="103">
        <f>IF(AA208&gt;0,(((W208/T208)*AA208)*Inputs!$B$12)+((V208/T208)*AA208)*Inputs!$B$23,0)</f>
        <v>0</v>
      </c>
      <c r="AH208" s="331">
        <f>IF(AB208&gt;0,((J208*Inputs!$B$18*Inputs!$B$43/$C$78)-O208),0)</f>
        <v>0</v>
      </c>
      <c r="AI208" s="331">
        <f>IFERROR(((R208/O208)*AH208)*((Inputs!$B$12)+(((Q208/O208)*AH208)*Inputs!$B$23)),0)</f>
        <v>0</v>
      </c>
      <c r="AJ208" s="255"/>
      <c r="AK208" s="255"/>
      <c r="AL208" s="255">
        <f>IF(O208&gt;0,((R208/O208)*(O208-O87)*Inputs!$B$12)+((Q208/O208)*(O208-O87)*Inputs!$B$23),0)</f>
        <v>0</v>
      </c>
      <c r="AM208" s="103">
        <f>(K87-K208)*Inputs!$B$12</f>
        <v>2.5133214722562048E-3</v>
      </c>
    </row>
    <row r="209" spans="2:39">
      <c r="B209" s="134">
        <v>0.20833333333333301</v>
      </c>
      <c r="C209" s="125">
        <f>Profiles!E37</f>
        <v>253</v>
      </c>
      <c r="D209" s="126">
        <f>IF(C209&lt;Inputs!$B$7,Inputs!$B$6,C209)</f>
        <v>220</v>
      </c>
      <c r="E209" s="127">
        <f>IF(VLOOKUP(K88,Profiles!$B$58:$C$88,2,TRUE)&gt;0,VLOOKUP(K88,Profiles!$B$58:$C$88,2,TRUE),0)</f>
        <v>0.92</v>
      </c>
      <c r="F209" s="127">
        <f t="shared" si="151"/>
        <v>0.13043478260869565</v>
      </c>
      <c r="G209" s="127">
        <f>F209*Inputs!$B$11</f>
        <v>0.11869565217391305</v>
      </c>
      <c r="H209" s="127">
        <f t="shared" si="161"/>
        <v>4.2060491493383867E-2</v>
      </c>
      <c r="I209" s="45">
        <f>Profiles!I11</f>
        <v>0.01</v>
      </c>
      <c r="J209" s="45">
        <f>Profiles!F37</f>
        <v>0</v>
      </c>
      <c r="K209" s="46">
        <f>IF(AND(H209&gt;0,K88&lt;Inputs!$B$15),K88*(1-H209),K88)</f>
        <v>0.20554049889044135</v>
      </c>
      <c r="L209" s="46">
        <f t="shared" si="152"/>
        <v>0</v>
      </c>
      <c r="M209" s="114">
        <f>IF(Inputs!$B$26="Yes",VLOOKUP(D209,VWR[#All],2,FALSE),1)</f>
        <v>1</v>
      </c>
      <c r="N209" s="114">
        <f>IF(Inputs!$B$27="Yes",VLOOKUP(D209,VVR[#All],2,FALSE),0)</f>
        <v>0</v>
      </c>
      <c r="O209" s="46">
        <f>(J88*Inputs!$B$18*Inputs!$B$43/$C$78)*M209</f>
        <v>0</v>
      </c>
      <c r="P209" s="46">
        <f t="shared" si="153"/>
        <v>0.20554049889044135</v>
      </c>
      <c r="Q209" s="46">
        <f t="shared" si="154"/>
        <v>0</v>
      </c>
      <c r="R209" s="46">
        <f t="shared" si="155"/>
        <v>0</v>
      </c>
      <c r="S209" s="103">
        <f t="shared" si="156"/>
        <v>0</v>
      </c>
      <c r="T209" s="46">
        <f t="shared" si="157"/>
        <v>0</v>
      </c>
      <c r="U209" s="46">
        <f t="shared" si="145"/>
        <v>0.20554049889044135</v>
      </c>
      <c r="V209" s="46">
        <f t="shared" si="158"/>
        <v>0</v>
      </c>
      <c r="W209" s="46">
        <f t="shared" si="146"/>
        <v>0</v>
      </c>
      <c r="X209" s="103">
        <f t="shared" si="147"/>
        <v>0</v>
      </c>
      <c r="Y209" s="46">
        <f>X209*Inputs!$B$8</f>
        <v>0</v>
      </c>
      <c r="Z209" s="170">
        <f t="shared" si="159"/>
        <v>220</v>
      </c>
      <c r="AA209" s="104">
        <f>IF(AND(Z209&gt;=255,C209&lt;=Inputs!$B$7,V209&gt;0),(($AN$22-$AN$21)/($AM$22-$AM$21)*(Z209-$AM$21)+$AN$21)*O209,0)</f>
        <v>0</v>
      </c>
      <c r="AB209" s="104">
        <f t="shared" si="148"/>
        <v>0</v>
      </c>
      <c r="AC209" s="46">
        <f t="shared" si="149"/>
        <v>0.20554049889044135</v>
      </c>
      <c r="AD209" s="46">
        <f t="shared" si="160"/>
        <v>0</v>
      </c>
      <c r="AE209" s="46">
        <f t="shared" si="150"/>
        <v>0</v>
      </c>
      <c r="AF209" s="103">
        <f>IF(S209&gt;0,(((R209/O209)*S209)*Inputs!$B$12)+((Q209/O209)*S209)*Inputs!$B$23,0)</f>
        <v>0</v>
      </c>
      <c r="AG209" s="103">
        <f>IF(AA209&gt;0,(((W209/T209)*AA209)*Inputs!$B$12)+((V209/T209)*AA209)*Inputs!$B$23,0)</f>
        <v>0</v>
      </c>
      <c r="AH209" s="331">
        <f>IF(AB209&gt;0,((J209*Inputs!$B$18*Inputs!$B$43/$C$78)-O209),0)</f>
        <v>0</v>
      </c>
      <c r="AI209" s="331">
        <f>IFERROR(((R209/O209)*AH209)*((Inputs!$B$12)+(((Q209/O209)*AH209)*Inputs!$B$23)),0)</f>
        <v>0</v>
      </c>
      <c r="AJ209" s="255"/>
      <c r="AK209" s="255"/>
      <c r="AL209" s="255">
        <f>IF(O209&gt;0,((R209/O209)*(O209-O88)*Inputs!$B$12)+((Q209/O209)*(O209-O88)*Inputs!$B$23),0)</f>
        <v>0</v>
      </c>
      <c r="AM209" s="103">
        <f>(K88-K209)*Inputs!$B$12</f>
        <v>2.1659324402071209E-3</v>
      </c>
    </row>
    <row r="210" spans="2:39">
      <c r="B210" s="134">
        <v>0.25</v>
      </c>
      <c r="C210" s="125">
        <f>Profiles!E38</f>
        <v>254</v>
      </c>
      <c r="D210" s="126">
        <f>IF(C210&lt;Inputs!$B$7,Inputs!$B$6,C210)</f>
        <v>220</v>
      </c>
      <c r="E210" s="127">
        <f>IF(VLOOKUP(K89,Profiles!$B$58:$C$88,2,TRUE)&gt;0,VLOOKUP(K89,Profiles!$B$58:$C$88,2,TRUE),0)</f>
        <v>0.98</v>
      </c>
      <c r="F210" s="127">
        <f t="shared" si="151"/>
        <v>0.13385826771653545</v>
      </c>
      <c r="G210" s="127">
        <f>F210*Inputs!$B$11</f>
        <v>0.12181102362204727</v>
      </c>
      <c r="H210" s="127">
        <f t="shared" si="161"/>
        <v>0.10388879961433395</v>
      </c>
      <c r="I210" s="45">
        <f>Profiles!I12</f>
        <v>0.1</v>
      </c>
      <c r="J210" s="45">
        <f>Profiles!F38</f>
        <v>0</v>
      </c>
      <c r="K210" s="46">
        <f>IF(AND(H210&gt;0,K89&lt;Inputs!$B$15),K89*(1-H210),K89)</f>
        <v>1.9227429451753315</v>
      </c>
      <c r="L210" s="46">
        <f t="shared" si="152"/>
        <v>0</v>
      </c>
      <c r="M210" s="114">
        <f>IF(Inputs!$B$26="Yes",VLOOKUP(D210,VWR[#All],2,FALSE),1)</f>
        <v>1</v>
      </c>
      <c r="N210" s="114">
        <f>IF(Inputs!$B$27="Yes",VLOOKUP(D210,VVR[#All],2,FALSE),0)</f>
        <v>0</v>
      </c>
      <c r="O210" s="46">
        <f>(J89*Inputs!$B$18*Inputs!$B$43/$C$78)*M210</f>
        <v>0</v>
      </c>
      <c r="P210" s="46">
        <f t="shared" si="153"/>
        <v>1.9227429451753315</v>
      </c>
      <c r="Q210" s="46">
        <f t="shared" si="154"/>
        <v>0</v>
      </c>
      <c r="R210" s="46">
        <f t="shared" si="155"/>
        <v>0</v>
      </c>
      <c r="S210" s="103">
        <f t="shared" si="156"/>
        <v>0</v>
      </c>
      <c r="T210" s="46">
        <f t="shared" si="157"/>
        <v>0</v>
      </c>
      <c r="U210" s="46">
        <f t="shared" si="145"/>
        <v>1.9227429451753315</v>
      </c>
      <c r="V210" s="46">
        <f t="shared" si="158"/>
        <v>0</v>
      </c>
      <c r="W210" s="46">
        <f t="shared" si="146"/>
        <v>0</v>
      </c>
      <c r="X210" s="103">
        <f t="shared" si="147"/>
        <v>0</v>
      </c>
      <c r="Y210" s="46">
        <f>X210*Inputs!$B$8</f>
        <v>0</v>
      </c>
      <c r="Z210" s="170">
        <f t="shared" si="159"/>
        <v>220</v>
      </c>
      <c r="AA210" s="104">
        <f>IF(AND(Z210&gt;=255,C210&lt;=Inputs!$B$7,V210&gt;0),(($AN$22-$AN$21)/($AM$22-$AM$21)*(Z210-$AM$21)+$AN$21)*O210,0)</f>
        <v>0</v>
      </c>
      <c r="AB210" s="104">
        <f t="shared" si="148"/>
        <v>0</v>
      </c>
      <c r="AC210" s="46">
        <f t="shared" si="149"/>
        <v>1.9227429451753315</v>
      </c>
      <c r="AD210" s="46">
        <f t="shared" si="160"/>
        <v>0</v>
      </c>
      <c r="AE210" s="46">
        <f t="shared" si="150"/>
        <v>0</v>
      </c>
      <c r="AF210" s="103">
        <f>IF(S210&gt;0,(((R210/O210)*S210)*Inputs!$B$12)+((Q210/O210)*S210)*Inputs!$B$23,0)</f>
        <v>0</v>
      </c>
      <c r="AG210" s="103">
        <f>IF(AA210&gt;0,(((W210/T210)*AA210)*Inputs!$B$12)+((V210/T210)*AA210)*Inputs!$B$23,0)</f>
        <v>0</v>
      </c>
      <c r="AH210" s="331">
        <f>IF(AB210&gt;0,((J210*Inputs!$B$18*Inputs!$B$43/$C$78)-O210),0)</f>
        <v>0</v>
      </c>
      <c r="AI210" s="331">
        <f>IFERROR(((R210/O210)*AH210)*((Inputs!$B$12)+(((Q210/O210)*AH210)*Inputs!$B$23)),0)</f>
        <v>0</v>
      </c>
      <c r="AJ210" s="255"/>
      <c r="AK210" s="255"/>
      <c r="AL210" s="255">
        <f>IF(O210&gt;0,((R210/O210)*(O210-O89)*Inputs!$B$12)+((Q210/O210)*(O210-O89)*Inputs!$B$23),0)</f>
        <v>0</v>
      </c>
      <c r="AM210" s="103">
        <f>(K89-K210)*Inputs!$B$12</f>
        <v>5.3498214897050908E-2</v>
      </c>
    </row>
    <row r="211" spans="2:39">
      <c r="B211" s="134">
        <v>0.29166666666666702</v>
      </c>
      <c r="C211" s="125">
        <f>Profiles!E39</f>
        <v>255</v>
      </c>
      <c r="D211" s="126">
        <f>IF(C211&lt;Inputs!$B$7,Inputs!$B$6,C211)</f>
        <v>220</v>
      </c>
      <c r="E211" s="127">
        <f>IF(VLOOKUP(K90,Profiles!$B$58:$C$88,2,TRUE)&gt;0,VLOOKUP(K90,Profiles!$B$58:$C$88,2,TRUE),0)</f>
        <v>0.98</v>
      </c>
      <c r="F211" s="127">
        <f t="shared" si="151"/>
        <v>0.13725490196078433</v>
      </c>
      <c r="G211" s="127">
        <f>F211*Inputs!$B$11</f>
        <v>0.12490196078431375</v>
      </c>
      <c r="H211" s="127">
        <f>IFERROR(((G211-1)/E211+1),0)</f>
        <v>0.10704281712685071</v>
      </c>
      <c r="I211" s="45">
        <f>Profiles!I13</f>
        <v>0.12</v>
      </c>
      <c r="J211" s="45">
        <f>Profiles!F39</f>
        <v>0.02</v>
      </c>
      <c r="K211" s="46">
        <f>IF(AND(H211&gt;0,K90&lt;Inputs!$B$15),K90*(1-H211),K90)</f>
        <v>2.2991706247716479</v>
      </c>
      <c r="L211" s="46">
        <f t="shared" si="152"/>
        <v>0</v>
      </c>
      <c r="M211" s="114">
        <f>IF(Inputs!$B$26="Yes",VLOOKUP(D211,VWR[#All],2,FALSE),1)</f>
        <v>1</v>
      </c>
      <c r="N211" s="114">
        <f>IF(Inputs!$B$27="Yes",VLOOKUP(D211,VVR[#All],2,FALSE),0)</f>
        <v>0</v>
      </c>
      <c r="O211" s="46">
        <f>(J90*Inputs!$B$18*Inputs!$B$43/$C$78)*M211</f>
        <v>0.51066695932261819</v>
      </c>
      <c r="P211" s="46">
        <f t="shared" si="153"/>
        <v>1.7885036654490296</v>
      </c>
      <c r="Q211" s="46">
        <f t="shared" si="154"/>
        <v>0</v>
      </c>
      <c r="R211" s="46">
        <f t="shared" si="155"/>
        <v>0.51066695932261819</v>
      </c>
      <c r="S211" s="103">
        <f t="shared" si="156"/>
        <v>0</v>
      </c>
      <c r="T211" s="46">
        <f t="shared" si="157"/>
        <v>0.51066695932261819</v>
      </c>
      <c r="U211" s="46">
        <f t="shared" si="145"/>
        <v>1.7885036654490296</v>
      </c>
      <c r="V211" s="46">
        <f t="shared" si="158"/>
        <v>0</v>
      </c>
      <c r="W211" s="46">
        <f t="shared" si="146"/>
        <v>0.51066695932261819</v>
      </c>
      <c r="X211" s="103">
        <f t="shared" si="147"/>
        <v>0</v>
      </c>
      <c r="Y211" s="46">
        <f>X211*Inputs!$B$8</f>
        <v>0</v>
      </c>
      <c r="Z211" s="170">
        <f t="shared" si="159"/>
        <v>220</v>
      </c>
      <c r="AA211" s="104">
        <f>IF(AND(Z211&gt;=255,C211&lt;=Inputs!$B$7,V211&gt;0),(($AN$22-$AN$21)/($AM$22-$AM$21)*(Z211-$AM$21)+$AN$21)*O211,0)</f>
        <v>0</v>
      </c>
      <c r="AB211" s="104">
        <f t="shared" si="148"/>
        <v>0.51066695932261819</v>
      </c>
      <c r="AC211" s="46">
        <f t="shared" si="149"/>
        <v>1.7885036654490296</v>
      </c>
      <c r="AD211" s="46">
        <f t="shared" si="160"/>
        <v>0</v>
      </c>
      <c r="AE211" s="46">
        <f t="shared" si="150"/>
        <v>0.51066695932261819</v>
      </c>
      <c r="AF211" s="103">
        <f>IF(S211&gt;0,(((R211/O211)*S211)*Inputs!$B$12)+((Q211/O211)*S211)*Inputs!$B$23,0)</f>
        <v>0</v>
      </c>
      <c r="AG211" s="103">
        <f>IF(AA211&gt;0,(((W211/T211)*AA211)*Inputs!$B$12)+((V211/T211)*AA211)*Inputs!$B$23,0)</f>
        <v>0</v>
      </c>
      <c r="AH211" s="331">
        <f>IF(AB211&gt;0,((J211*Inputs!$B$18*Inputs!$B$43/$C$78)-O211),0)</f>
        <v>0</v>
      </c>
      <c r="AI211" s="331">
        <f>IFERROR(((R211/O211)*AH211)*((Inputs!$B$12)+(((Q211/O211)*AH211)*Inputs!$B$23)),0)</f>
        <v>0</v>
      </c>
      <c r="AJ211" s="255"/>
      <c r="AK211" s="255"/>
      <c r="AL211" s="255">
        <f>IF(O211&gt;0,((R211/O211)*(O211-O90)*Inputs!$B$12)+((Q211/O211)*(O211-O90)*Inputs!$B$23),0)</f>
        <v>3.2682685396647551E-2</v>
      </c>
      <c r="AM211" s="103">
        <f>(K90-K211)*Inputs!$B$12</f>
        <v>6.6146876141760985E-2</v>
      </c>
    </row>
    <row r="212" spans="2:39">
      <c r="B212" s="134">
        <v>0.33333333333333298</v>
      </c>
      <c r="C212" s="125">
        <f>Profiles!E40</f>
        <v>255</v>
      </c>
      <c r="D212" s="126">
        <f>IF(C212&lt;Inputs!$B$7,Inputs!$B$6,C212)</f>
        <v>220</v>
      </c>
      <c r="E212" s="127">
        <f>IF(VLOOKUP(K91,Profiles!$B$58:$C$88,2,TRUE)&gt;0,VLOOKUP(K91,Profiles!$B$58:$C$88,2,TRUE),0)</f>
        <v>0.97</v>
      </c>
      <c r="F212" s="127">
        <f t="shared" si="151"/>
        <v>0.13725490196078433</v>
      </c>
      <c r="G212" s="127">
        <f>F212*Inputs!$B$11</f>
        <v>0.12490196078431375</v>
      </c>
      <c r="H212" s="127">
        <f t="shared" si="161"/>
        <v>9.783707297351929E-2</v>
      </c>
      <c r="I212" s="45">
        <f>Profiles!I14</f>
        <v>0.03</v>
      </c>
      <c r="J212" s="45">
        <f>Profiles!F40</f>
        <v>4.4999999999999998E-2</v>
      </c>
      <c r="K212" s="46">
        <f>IF(AND(H212&gt;0,K91&lt;Inputs!$B$15),K91*(1-H212),K91)</f>
        <v>0.58071835367943681</v>
      </c>
      <c r="L212" s="46">
        <f t="shared" si="152"/>
        <v>0</v>
      </c>
      <c r="M212" s="114">
        <f>IF(Inputs!$B$26="Yes",VLOOKUP(D212,VWR[#All],2,FALSE),1)</f>
        <v>1</v>
      </c>
      <c r="N212" s="114">
        <f>IF(Inputs!$B$27="Yes",VLOOKUP(D212,VVR[#All],2,FALSE),0)</f>
        <v>0</v>
      </c>
      <c r="O212" s="46">
        <f>(J91*Inputs!$B$18*Inputs!$B$43/$C$78)*M212</f>
        <v>1.1490006584758909</v>
      </c>
      <c r="P212" s="46">
        <f t="shared" si="153"/>
        <v>0</v>
      </c>
      <c r="Q212" s="46">
        <f t="shared" si="154"/>
        <v>0.56828230479645414</v>
      </c>
      <c r="R212" s="46">
        <f t="shared" si="155"/>
        <v>0.58071835367943681</v>
      </c>
      <c r="S212" s="103">
        <f t="shared" si="156"/>
        <v>0</v>
      </c>
      <c r="T212" s="46">
        <f t="shared" si="157"/>
        <v>1.1490006584758909</v>
      </c>
      <c r="U212" s="46">
        <f t="shared" si="145"/>
        <v>0</v>
      </c>
      <c r="V212" s="46">
        <f t="shared" si="158"/>
        <v>0.56828230479645414</v>
      </c>
      <c r="W212" s="46">
        <f t="shared" si="146"/>
        <v>0.58071835367943681</v>
      </c>
      <c r="X212" s="103">
        <f t="shared" si="147"/>
        <v>2.2285580580253104</v>
      </c>
      <c r="Y212" s="46">
        <f>X212*Inputs!$B$8</f>
        <v>0.84685206204961794</v>
      </c>
      <c r="Z212" s="170">
        <f t="shared" si="159"/>
        <v>220.84685206204961</v>
      </c>
      <c r="AA212" s="104">
        <f>IF(AND(Z212&gt;=255,C212&lt;=Inputs!$B$7,V212&gt;0),(($AN$22-$AN$21)/($AM$22-$AM$21)*(Z212-$AM$21)+$AN$21)*O212,0)</f>
        <v>0</v>
      </c>
      <c r="AB212" s="104">
        <f t="shared" si="148"/>
        <v>1.1490006584758909</v>
      </c>
      <c r="AC212" s="46">
        <f t="shared" si="149"/>
        <v>0</v>
      </c>
      <c r="AD212" s="46">
        <f>IF(AB212&gt;K212,MIN((AB212-K212),5),0)</f>
        <v>0.56828230479645414</v>
      </c>
      <c r="AE212" s="46">
        <f t="shared" si="150"/>
        <v>0.58071835367943681</v>
      </c>
      <c r="AF212" s="103">
        <f>IF(S212&gt;0,(((R212/O212)*S212)*Inputs!$B$12)+((Q212/O212)*S212)*Inputs!$B$23,0)</f>
        <v>0</v>
      </c>
      <c r="AG212" s="103">
        <f>IF(AA212&gt;0,(((W212/T212)*AA212)*Inputs!$B$12)+((V212/T212)*AA212)*Inputs!$B$23,0)</f>
        <v>0</v>
      </c>
      <c r="AH212" s="331">
        <f>IF(AB212&gt;0,((J212*Inputs!$B$18*Inputs!$B$43/$C$78)-O212),0)</f>
        <v>0</v>
      </c>
      <c r="AI212" s="331">
        <f>IFERROR(((R212/O212)*AH212)*((Inputs!$B$12)+(((Q212/O212)*AH212)*Inputs!$B$23)),0)</f>
        <v>0</v>
      </c>
      <c r="AJ212" s="255"/>
      <c r="AK212" s="255"/>
      <c r="AL212" s="255">
        <f>IF(O212&gt;0,((R212/O212)*(O212-O91)*Inputs!$B$12)+((Q212/O212)*(O212-O91)*Inputs!$B$23),0)</f>
        <v>5.535100838897046E-2</v>
      </c>
      <c r="AM212" s="103">
        <f>(K91-K212)*Inputs!$B$12</f>
        <v>1.5114551638674287E-2</v>
      </c>
    </row>
    <row r="213" spans="2:39">
      <c r="B213" s="134">
        <v>0.375</v>
      </c>
      <c r="C213" s="125">
        <f>Profiles!E41</f>
        <v>253</v>
      </c>
      <c r="D213" s="126">
        <f>IF(C213&lt;Inputs!$B$7,Inputs!$B$6,C213)</f>
        <v>220</v>
      </c>
      <c r="E213" s="127">
        <f>IF(VLOOKUP(K92,Profiles!$B$58:$C$88,2,TRUE)&gt;0,VLOOKUP(K92,Profiles!$B$58:$C$88,2,TRUE),0)</f>
        <v>0.96</v>
      </c>
      <c r="F213" s="127">
        <f t="shared" si="151"/>
        <v>0.13043478260869565</v>
      </c>
      <c r="G213" s="127">
        <f>F213*Inputs!$B$11</f>
        <v>0.11869565217391305</v>
      </c>
      <c r="H213" s="127">
        <f t="shared" si="161"/>
        <v>8.1974637681159424E-2</v>
      </c>
      <c r="I213" s="45">
        <f>Profiles!I15</f>
        <v>0.02</v>
      </c>
      <c r="J213" s="45">
        <f>Profiles!F41</f>
        <v>0.08</v>
      </c>
      <c r="K213" s="46">
        <f>IF(AND(H213&gt;0,K92&lt;Inputs!$B$15),K92*(1-H213),K92)</f>
        <v>0.39395262287334593</v>
      </c>
      <c r="L213" s="46">
        <f t="shared" si="152"/>
        <v>0</v>
      </c>
      <c r="M213" s="114">
        <f>IF(Inputs!$B$26="Yes",VLOOKUP(D213,VWR[#All],2,FALSE),1)</f>
        <v>1</v>
      </c>
      <c r="N213" s="114">
        <f>IF(Inputs!$B$27="Yes",VLOOKUP(D213,VVR[#All],2,FALSE),0)</f>
        <v>0</v>
      </c>
      <c r="O213" s="46">
        <f>(J92*Inputs!$B$18*Inputs!$B$43/$C$78)*M213</f>
        <v>2.0426678372904727</v>
      </c>
      <c r="P213" s="46">
        <f t="shared" si="153"/>
        <v>0</v>
      </c>
      <c r="Q213" s="46">
        <f t="shared" si="154"/>
        <v>1.6487152144171269</v>
      </c>
      <c r="R213" s="46">
        <f t="shared" si="155"/>
        <v>0.39395262287334593</v>
      </c>
      <c r="S213" s="103">
        <f t="shared" si="156"/>
        <v>0</v>
      </c>
      <c r="T213" s="46">
        <f t="shared" si="157"/>
        <v>2.0426678372904727</v>
      </c>
      <c r="U213" s="46">
        <f t="shared" si="145"/>
        <v>0</v>
      </c>
      <c r="V213" s="46">
        <f t="shared" si="158"/>
        <v>1.6487152144171269</v>
      </c>
      <c r="W213" s="46">
        <f t="shared" si="146"/>
        <v>0.39395262287334593</v>
      </c>
      <c r="X213" s="103">
        <f t="shared" si="147"/>
        <v>6.5166609265499087</v>
      </c>
      <c r="Y213" s="46">
        <f>X213*Inputs!$B$8</f>
        <v>2.4763311520889655</v>
      </c>
      <c r="Z213" s="170">
        <f t="shared" si="159"/>
        <v>222.47633115208896</v>
      </c>
      <c r="AA213" s="104">
        <f>IF(AND(Z213&gt;=255,C213&lt;=Inputs!$B$7,V213&gt;0),(($AN$22-$AN$21)/($AM$22-$AM$21)*(Z213-$AM$21)+$AN$21)*O213,0)</f>
        <v>0</v>
      </c>
      <c r="AB213" s="104">
        <f t="shared" si="148"/>
        <v>2.0426678372904727</v>
      </c>
      <c r="AC213" s="46">
        <f t="shared" si="149"/>
        <v>0</v>
      </c>
      <c r="AD213" s="46">
        <f t="shared" si="160"/>
        <v>1.6487152144171269</v>
      </c>
      <c r="AE213" s="46">
        <f t="shared" si="150"/>
        <v>0.39395262287334593</v>
      </c>
      <c r="AF213" s="103">
        <f>IF(S213&gt;0,(((R213/O213)*S213)*Inputs!$B$12)+((Q213/O213)*S213)*Inputs!$B$23,0)</f>
        <v>0</v>
      </c>
      <c r="AG213" s="103">
        <f>IF(AA213&gt;0,(((W213/T213)*AA213)*Inputs!$B$12)+((V213/T213)*AA213)*Inputs!$B$23,0)</f>
        <v>0</v>
      </c>
      <c r="AH213" s="331">
        <f>IF(AB213&gt;0,((J213*Inputs!$B$18*Inputs!$B$43/$C$78)-O213),0)</f>
        <v>0</v>
      </c>
      <c r="AI213" s="331">
        <f>IFERROR(((R213/O213)*AH213)*((Inputs!$B$12)+(((Q213/O213)*AH213)*Inputs!$B$23)),0)</f>
        <v>0</v>
      </c>
      <c r="AJ213" s="255"/>
      <c r="AK213" s="255"/>
      <c r="AL213" s="255">
        <f>IF(O213&gt;0,((R213/O213)*(O213-O92)*Inputs!$B$12)+((Q213/O213)*(O213-O92)*Inputs!$B$23),0)</f>
        <v>4.6783112835145309E-2</v>
      </c>
      <c r="AM213" s="103">
        <f>(K92-K213)*Inputs!$B$12</f>
        <v>8.4426748582230662E-3</v>
      </c>
    </row>
    <row r="214" spans="2:39">
      <c r="B214" s="134">
        <v>0.41666666666666702</v>
      </c>
      <c r="C214" s="125">
        <f>Profiles!E42</f>
        <v>256</v>
      </c>
      <c r="D214" s="126">
        <f>IF(C214&lt;Inputs!$B$7,Inputs!$B$6,C214)</f>
        <v>220</v>
      </c>
      <c r="E214" s="127">
        <f>IF(VLOOKUP(K93,Profiles!$B$58:$C$88,2,TRUE)&gt;0,VLOOKUP(K93,Profiles!$B$58:$C$88,2,TRUE),0)</f>
        <v>0.96</v>
      </c>
      <c r="F214" s="127">
        <f t="shared" si="151"/>
        <v>0.140625</v>
      </c>
      <c r="G214" s="127">
        <f>F214*Inputs!$B$11</f>
        <v>0.12796874999999999</v>
      </c>
      <c r="H214" s="127">
        <f t="shared" si="161"/>
        <v>9.1634114583333259E-2</v>
      </c>
      <c r="I214" s="45">
        <f>Profiles!I16</f>
        <v>0.02</v>
      </c>
      <c r="J214" s="45">
        <f>Profiles!F42</f>
        <v>0.11</v>
      </c>
      <c r="K214" s="46">
        <f>IF(AND(H214&gt;0,K93&lt;Inputs!$B$15),K93*(1-H214),K93)</f>
        <v>0.38980744735054351</v>
      </c>
      <c r="L214" s="46">
        <f t="shared" si="152"/>
        <v>0</v>
      </c>
      <c r="M214" s="114">
        <f>IF(Inputs!$B$26="Yes",VLOOKUP(D214,VWR[#All],2,FALSE),1)</f>
        <v>1</v>
      </c>
      <c r="N214" s="114">
        <f>IF(Inputs!$B$27="Yes",VLOOKUP(D214,VVR[#All],2,FALSE),0)</f>
        <v>0</v>
      </c>
      <c r="O214" s="46">
        <f>(J93*Inputs!$B$18*Inputs!$B$43/$C$78)*M214</f>
        <v>2.8086682762744002</v>
      </c>
      <c r="P214" s="46">
        <f t="shared" si="153"/>
        <v>0</v>
      </c>
      <c r="Q214" s="46">
        <f t="shared" si="154"/>
        <v>2.4188608289238567</v>
      </c>
      <c r="R214" s="46">
        <f t="shared" si="155"/>
        <v>0.38980744735054351</v>
      </c>
      <c r="S214" s="103">
        <f t="shared" si="156"/>
        <v>0</v>
      </c>
      <c r="T214" s="46">
        <f t="shared" si="157"/>
        <v>2.8086682762744002</v>
      </c>
      <c r="U214" s="46">
        <f t="shared" si="145"/>
        <v>0</v>
      </c>
      <c r="V214" s="46">
        <f t="shared" si="158"/>
        <v>2.4188608289238567</v>
      </c>
      <c r="W214" s="46">
        <f t="shared" si="146"/>
        <v>0.38980744735054351</v>
      </c>
      <c r="X214" s="103">
        <f t="shared" si="147"/>
        <v>9.4486751129838158</v>
      </c>
      <c r="Y214" s="46">
        <f>X214*Inputs!$B$8</f>
        <v>3.5904965429338502</v>
      </c>
      <c r="Z214" s="170">
        <f t="shared" si="159"/>
        <v>223.59049654293386</v>
      </c>
      <c r="AA214" s="104">
        <f>IF(AND(Z214&gt;=255,C214&lt;=Inputs!$B$7,V214&gt;0),(($AN$22-$AN$21)/($AM$22-$AM$21)*(Z214-$AM$21)+$AN$21)*O214,0)</f>
        <v>0</v>
      </c>
      <c r="AB214" s="104">
        <f t="shared" si="148"/>
        <v>2.8086682762744002</v>
      </c>
      <c r="AC214" s="46">
        <f t="shared" si="149"/>
        <v>0</v>
      </c>
      <c r="AD214" s="46">
        <f>IF(AB214&gt;K214,MIN((AB214-K214),5),0)</f>
        <v>2.4188608289238567</v>
      </c>
      <c r="AE214" s="46">
        <f t="shared" si="150"/>
        <v>0.38980744735054351</v>
      </c>
      <c r="AF214" s="103">
        <f>IF(S214&gt;0,(((R214/O214)*S214)*Inputs!$B$12)+((Q214/O214)*S214)*Inputs!$B$23,0)</f>
        <v>0</v>
      </c>
      <c r="AG214" s="103">
        <f>IF(AA214&gt;0,(((W214/T214)*AA214)*Inputs!$B$12)+((V214/T214)*AA214)*Inputs!$B$23,0)</f>
        <v>0</v>
      </c>
      <c r="AH214" s="331">
        <f>IF(AB214&gt;0,((J214*Inputs!$B$18*Inputs!$B$43/$C$78)-O214),0)</f>
        <v>0</v>
      </c>
      <c r="AI214" s="331">
        <f>IFERROR(((R214/O214)*AH214)*((Inputs!$B$12)+(((Q214/O214)*AH214)*Inputs!$B$23)),0)</f>
        <v>0</v>
      </c>
      <c r="AJ214" s="255"/>
      <c r="AK214" s="255"/>
      <c r="AL214" s="255">
        <f>IF(O214&gt;0,((R214/O214)*(O214-O93)*Inputs!$B$12)+((Q214/O214)*(O214-O93)*Inputs!$B$23),0)</f>
        <v>0.12282146778719787</v>
      </c>
      <c r="AM214" s="103">
        <f>(K93-K214)*Inputs!$B$12</f>
        <v>9.4375169836956457E-3</v>
      </c>
    </row>
    <row r="215" spans="2:39">
      <c r="B215" s="134">
        <v>0.45833333333333298</v>
      </c>
      <c r="C215" s="125">
        <f>Profiles!E43</f>
        <v>257</v>
      </c>
      <c r="D215" s="126">
        <f>IF(C215&lt;Inputs!$B$7,Inputs!$B$6,C215)</f>
        <v>220</v>
      </c>
      <c r="E215" s="127">
        <f>IF(VLOOKUP(K94,Profiles!$B$58:$C$88,2,TRUE)&gt;0,VLOOKUP(K94,Profiles!$B$58:$C$88,2,TRUE),0)</f>
        <v>0.96</v>
      </c>
      <c r="F215" s="127">
        <f t="shared" si="151"/>
        <v>0.14396887159533073</v>
      </c>
      <c r="G215" s="127">
        <f>F215*Inputs!$B$11</f>
        <v>0.13101167315175097</v>
      </c>
      <c r="H215" s="127">
        <f t="shared" si="161"/>
        <v>9.4803826199740593E-2</v>
      </c>
      <c r="I215" s="45">
        <f>Profiles!I17</f>
        <v>0.02</v>
      </c>
      <c r="J215" s="45">
        <f>Profiles!F43</f>
        <v>0.12</v>
      </c>
      <c r="K215" s="46">
        <f>IF(AND(H215&gt;0,K94&lt;Inputs!$B$15),K94*(1-H215),K94)</f>
        <v>0.38844722762645917</v>
      </c>
      <c r="L215" s="46">
        <f t="shared" si="152"/>
        <v>0</v>
      </c>
      <c r="M215" s="114">
        <f>IF(Inputs!$B$26="Yes",VLOOKUP(D215,VWR[#All],2,FALSE),1)</f>
        <v>1</v>
      </c>
      <c r="N215" s="114">
        <f>IF(Inputs!$B$27="Yes",VLOOKUP(D215,VVR[#All],2,FALSE),0)</f>
        <v>0</v>
      </c>
      <c r="O215" s="46">
        <f>(J94*Inputs!$B$18*Inputs!$B$43/$C$78)*M215</f>
        <v>3.0640017559357093</v>
      </c>
      <c r="P215" s="46">
        <f t="shared" si="153"/>
        <v>0</v>
      </c>
      <c r="Q215" s="46">
        <f t="shared" si="154"/>
        <v>2.6755545283092501</v>
      </c>
      <c r="R215" s="46">
        <f t="shared" si="155"/>
        <v>0.38844722762645917</v>
      </c>
      <c r="S215" s="103">
        <f t="shared" si="156"/>
        <v>0</v>
      </c>
      <c r="T215" s="46">
        <f t="shared" si="157"/>
        <v>3.0640017559357093</v>
      </c>
      <c r="U215" s="46">
        <f t="shared" si="145"/>
        <v>0</v>
      </c>
      <c r="V215" s="46">
        <f t="shared" si="158"/>
        <v>2.6755545283092501</v>
      </c>
      <c r="W215" s="46">
        <f t="shared" si="146"/>
        <v>0.38844722762645917</v>
      </c>
      <c r="X215" s="103">
        <f t="shared" si="147"/>
        <v>10.410718008985409</v>
      </c>
      <c r="Y215" s="46">
        <f>X215*Inputs!$B$8</f>
        <v>3.9560728434144554</v>
      </c>
      <c r="Z215" s="170">
        <f t="shared" si="159"/>
        <v>223.95607284341446</v>
      </c>
      <c r="AA215" s="104">
        <f>IF(AND(Z215&gt;=255,C215&lt;=Inputs!$B$7,V215&gt;0),(($AN$22-$AN$21)/($AM$22-$AM$21)*(Z215-$AM$21)+$AN$21)*O215,0)</f>
        <v>0</v>
      </c>
      <c r="AB215" s="104">
        <f t="shared" si="148"/>
        <v>3.0640017559357093</v>
      </c>
      <c r="AC215" s="46">
        <f t="shared" si="149"/>
        <v>0</v>
      </c>
      <c r="AD215" s="46">
        <f t="shared" si="160"/>
        <v>2.6755545283092501</v>
      </c>
      <c r="AE215" s="46">
        <f t="shared" si="150"/>
        <v>0.38844722762645917</v>
      </c>
      <c r="AF215" s="103">
        <f>IF(S215&gt;0,(((R215/O215)*S215)*Inputs!$B$12)+((Q215/O215)*S215)*Inputs!$B$23,0)</f>
        <v>0</v>
      </c>
      <c r="AG215" s="103">
        <f>IF(AA215&gt;0,(((W215/T215)*AA215)*Inputs!$B$12)+((V215/T215)*AA215)*Inputs!$B$23,0)</f>
        <v>0</v>
      </c>
      <c r="AH215" s="331">
        <f>IF(AB215&gt;0,((J215*Inputs!$B$18*Inputs!$B$43/$C$78)-O215),0)</f>
        <v>0</v>
      </c>
      <c r="AI215" s="331">
        <f>IFERROR(((R215/O215)*AH215)*((Inputs!$B$12)+(((Q215/O215)*AH215)*Inputs!$B$23)),0)</f>
        <v>0</v>
      </c>
      <c r="AJ215" s="255"/>
      <c r="AK215" s="255"/>
      <c r="AL215" s="255">
        <f>IF(O215&gt;0,((R215/O215)*(O215-O94)*Inputs!$B$12)+((Q215/O215)*(O215-O94)*Inputs!$B$23),0)</f>
        <v>0.1546697144635851</v>
      </c>
      <c r="AM215" s="103">
        <f>(K94-K215)*Inputs!$B$12</f>
        <v>9.7639697174758885E-3</v>
      </c>
    </row>
    <row r="216" spans="2:39">
      <c r="B216" s="134">
        <v>0.5</v>
      </c>
      <c r="C216" s="125">
        <f>Profiles!E44</f>
        <v>257</v>
      </c>
      <c r="D216" s="126">
        <f>IF(C216&lt;Inputs!$B$7,Inputs!$B$6,C216)</f>
        <v>220</v>
      </c>
      <c r="E216" s="127">
        <f>IF(VLOOKUP(K95,Profiles!$B$58:$C$88,2,TRUE)&gt;0,VLOOKUP(K95,Profiles!$B$58:$C$88,2,TRUE),0)</f>
        <v>0.96</v>
      </c>
      <c r="F216" s="127">
        <f t="shared" si="151"/>
        <v>0.14396887159533073</v>
      </c>
      <c r="G216" s="127">
        <f>F216*Inputs!$B$11</f>
        <v>0.13101167315175097</v>
      </c>
      <c r="H216" s="127">
        <f t="shared" si="161"/>
        <v>9.4803826199740593E-2</v>
      </c>
      <c r="I216" s="45">
        <f>Profiles!I18</f>
        <v>0.02</v>
      </c>
      <c r="J216" s="45">
        <f>Profiles!F44</f>
        <v>0.125</v>
      </c>
      <c r="K216" s="46">
        <f>IF(AND(H216&gt;0,K95&lt;Inputs!$B$15),K95*(1-H216),K95)</f>
        <v>0.38844722762645917</v>
      </c>
      <c r="L216" s="46">
        <f t="shared" si="152"/>
        <v>0</v>
      </c>
      <c r="M216" s="114">
        <f>IF(Inputs!$B$26="Yes",VLOOKUP(D216,VWR[#All],2,FALSE),1)</f>
        <v>1</v>
      </c>
      <c r="N216" s="114">
        <f>IF(Inputs!$B$27="Yes",VLOOKUP(D216,VVR[#All],2,FALSE),0)</f>
        <v>0</v>
      </c>
      <c r="O216" s="46">
        <f>(J95*Inputs!$B$18*Inputs!$B$43/$C$78)*M216</f>
        <v>3.1916684957663635</v>
      </c>
      <c r="P216" s="46">
        <f t="shared" si="153"/>
        <v>0</v>
      </c>
      <c r="Q216" s="46">
        <f t="shared" si="154"/>
        <v>2.8032212681399042</v>
      </c>
      <c r="R216" s="46">
        <f t="shared" si="155"/>
        <v>0.38844722762645917</v>
      </c>
      <c r="S216" s="103">
        <f t="shared" si="156"/>
        <v>0</v>
      </c>
      <c r="T216" s="46">
        <f t="shared" si="157"/>
        <v>3.1916684957663635</v>
      </c>
      <c r="U216" s="46">
        <f t="shared" si="145"/>
        <v>0</v>
      </c>
      <c r="V216" s="46">
        <f t="shared" si="158"/>
        <v>2.8032212681399042</v>
      </c>
      <c r="W216" s="46">
        <f t="shared" si="146"/>
        <v>0.38844722762645917</v>
      </c>
      <c r="X216" s="103">
        <f t="shared" si="147"/>
        <v>10.907475751517136</v>
      </c>
      <c r="Y216" s="46">
        <f>X216*Inputs!$B$8</f>
        <v>4.1448407855765117</v>
      </c>
      <c r="Z216" s="170">
        <f t="shared" si="159"/>
        <v>224.14484078557652</v>
      </c>
      <c r="AA216" s="104">
        <f>IF(AND(Z216&gt;=255,C216&lt;=Inputs!$B$7,V216&gt;0),(($AN$22-$AN$21)/($AM$22-$AM$21)*(Z216-$AM$21)+$AN$21)*O216,0)</f>
        <v>0</v>
      </c>
      <c r="AB216" s="104">
        <f t="shared" si="148"/>
        <v>3.1916684957663635</v>
      </c>
      <c r="AC216" s="46">
        <f t="shared" si="149"/>
        <v>0</v>
      </c>
      <c r="AD216" s="46">
        <f t="shared" si="160"/>
        <v>2.8032212681399042</v>
      </c>
      <c r="AE216" s="46">
        <f t="shared" si="150"/>
        <v>0.38844722762645917</v>
      </c>
      <c r="AF216" s="103">
        <f>IF(S216&gt;0,(((R216/O216)*S216)*Inputs!$B$12)+((Q216/O216)*S216)*Inputs!$B$23,0)</f>
        <v>0</v>
      </c>
      <c r="AG216" s="103">
        <f>IF(AA216&gt;0,(((W216/T216)*AA216)*Inputs!$B$12)+((V216/T216)*AA216)*Inputs!$B$23,0)</f>
        <v>0</v>
      </c>
      <c r="AH216" s="331">
        <f>IF(AB216&gt;0,((J216*Inputs!$B$18*Inputs!$B$43/$C$78)-O216),0)</f>
        <v>0</v>
      </c>
      <c r="AI216" s="331">
        <f>IFERROR(((R216/O216)*AH216)*((Inputs!$B$12)+(((Q216/O216)*AH216)*Inputs!$B$23)),0)</f>
        <v>0</v>
      </c>
      <c r="AJ216" s="255"/>
      <c r="AK216" s="255"/>
      <c r="AL216" s="255">
        <f>IF(O216&gt;0,((R216/O216)*(O216-O95)*Inputs!$B$12)+((Q216/O216)*(O216-O95)*Inputs!$B$23),0)</f>
        <v>0.16038918440799843</v>
      </c>
      <c r="AM216" s="103">
        <f>(K95-K216)*Inputs!$B$12</f>
        <v>9.7639697174758885E-3</v>
      </c>
    </row>
    <row r="217" spans="2:39">
      <c r="B217" s="134">
        <v>0.54166666666666696</v>
      </c>
      <c r="C217" s="125">
        <f>Profiles!E45</f>
        <v>257</v>
      </c>
      <c r="D217" s="126">
        <f>IF(C217&lt;Inputs!$B$7,Inputs!$B$6,C217)</f>
        <v>220</v>
      </c>
      <c r="E217" s="127">
        <f>IF(VLOOKUP(K96,Profiles!$B$58:$C$88,2,TRUE)&gt;0,VLOOKUP(K96,Profiles!$B$58:$C$88,2,TRUE),0)</f>
        <v>0.96</v>
      </c>
      <c r="F217" s="127">
        <f t="shared" si="151"/>
        <v>0.14396887159533073</v>
      </c>
      <c r="G217" s="127">
        <f>F217*Inputs!$B$11</f>
        <v>0.13101167315175097</v>
      </c>
      <c r="H217" s="127">
        <f t="shared" si="161"/>
        <v>9.4803826199740593E-2</v>
      </c>
      <c r="I217" s="45">
        <f>Profiles!I19</f>
        <v>0.02</v>
      </c>
      <c r="J217" s="45">
        <f>Profiles!F45</f>
        <v>0.125</v>
      </c>
      <c r="K217" s="46">
        <f>IF(AND(H217&gt;0,K96&lt;Inputs!$B$15),K96*(1-H217),K96)</f>
        <v>0.38844722762645917</v>
      </c>
      <c r="L217" s="46">
        <f t="shared" si="152"/>
        <v>0</v>
      </c>
      <c r="M217" s="114">
        <f>IF(Inputs!$B$26="Yes",VLOOKUP(D217,VWR[#All],2,FALSE),1)</f>
        <v>1</v>
      </c>
      <c r="N217" s="114">
        <f>IF(Inputs!$B$27="Yes",VLOOKUP(D217,VVR[#All],2,FALSE),0)</f>
        <v>0</v>
      </c>
      <c r="O217" s="46">
        <f>(J96*Inputs!$B$18*Inputs!$B$43/$C$78)*M217</f>
        <v>3.1916684957663635</v>
      </c>
      <c r="P217" s="46">
        <f t="shared" si="153"/>
        <v>0</v>
      </c>
      <c r="Q217" s="46">
        <f t="shared" si="154"/>
        <v>2.8032212681399042</v>
      </c>
      <c r="R217" s="46">
        <f t="shared" si="155"/>
        <v>0.38844722762645917</v>
      </c>
      <c r="S217" s="103">
        <f t="shared" si="156"/>
        <v>0</v>
      </c>
      <c r="T217" s="46">
        <f t="shared" si="157"/>
        <v>3.1916684957663635</v>
      </c>
      <c r="U217" s="46">
        <f t="shared" si="145"/>
        <v>0</v>
      </c>
      <c r="V217" s="46">
        <f t="shared" si="158"/>
        <v>2.8032212681399042</v>
      </c>
      <c r="W217" s="46">
        <f t="shared" si="146"/>
        <v>0.38844722762645917</v>
      </c>
      <c r="X217" s="103">
        <f t="shared" si="147"/>
        <v>10.907475751517136</v>
      </c>
      <c r="Y217" s="46">
        <f>X217*Inputs!$B$8</f>
        <v>4.1448407855765117</v>
      </c>
      <c r="Z217" s="170">
        <f t="shared" si="159"/>
        <v>224.14484078557652</v>
      </c>
      <c r="AA217" s="104">
        <f>IF(AND(Z217&gt;=255,C217&lt;=Inputs!$B$7,V217&gt;0),(($AN$22-$AN$21)/($AM$22-$AM$21)*(Z217-$AM$21)+$AN$21)*O217,0)</f>
        <v>0</v>
      </c>
      <c r="AB217" s="104">
        <f t="shared" si="148"/>
        <v>3.1916684957663635</v>
      </c>
      <c r="AC217" s="46">
        <f t="shared" si="149"/>
        <v>0</v>
      </c>
      <c r="AD217" s="46">
        <f t="shared" si="160"/>
        <v>2.8032212681399042</v>
      </c>
      <c r="AE217" s="46">
        <f t="shared" si="150"/>
        <v>0.38844722762645917</v>
      </c>
      <c r="AF217" s="103">
        <f>IF(S217&gt;0,(((R217/O217)*S217)*Inputs!$B$12)+((Q217/O217)*S217)*Inputs!$B$23,0)</f>
        <v>0</v>
      </c>
      <c r="AG217" s="103">
        <f>IF(AA217&gt;0,(((W217/T217)*AA217)*Inputs!$B$12)+((V217/T217)*AA217)*Inputs!$B$23,0)</f>
        <v>0</v>
      </c>
      <c r="AH217" s="331">
        <f>IF(AB217&gt;0,((J217*Inputs!$B$18*Inputs!$B$43/$C$78)-O217),0)</f>
        <v>0</v>
      </c>
      <c r="AI217" s="331">
        <f>IFERROR(((R217/O217)*AH217)*((Inputs!$B$12)+(((Q217/O217)*AH217)*Inputs!$B$23)),0)</f>
        <v>0</v>
      </c>
      <c r="AJ217" s="255"/>
      <c r="AK217" s="255"/>
      <c r="AL217" s="255">
        <f>IF(O217&gt;0,((R217/O217)*(O217-O96)*Inputs!$B$12)+((Q217/O217)*(O217-O96)*Inputs!$B$23),0)</f>
        <v>0.16038918440799843</v>
      </c>
      <c r="AM217" s="103">
        <f>(K96-K217)*Inputs!$B$12</f>
        <v>9.7639697174758885E-3</v>
      </c>
    </row>
    <row r="218" spans="2:39">
      <c r="B218" s="134">
        <v>0.58333333333333304</v>
      </c>
      <c r="C218" s="125">
        <f>Profiles!E46</f>
        <v>256</v>
      </c>
      <c r="D218" s="126">
        <f>IF(C218&lt;Inputs!$B$7,Inputs!$B$6,C218)</f>
        <v>220</v>
      </c>
      <c r="E218" s="127">
        <f>IF(VLOOKUP(K97,Profiles!$B$58:$C$88,2,TRUE)&gt;0,VLOOKUP(K97,Profiles!$B$58:$C$88,2,TRUE),0)</f>
        <v>0.96</v>
      </c>
      <c r="F218" s="127">
        <f t="shared" si="151"/>
        <v>0.140625</v>
      </c>
      <c r="G218" s="127">
        <f>F218*Inputs!$B$11</f>
        <v>0.12796874999999999</v>
      </c>
      <c r="H218" s="127">
        <f t="shared" si="161"/>
        <v>9.1634114583333259E-2</v>
      </c>
      <c r="I218" s="45">
        <f>Profiles!I20</f>
        <v>0.02</v>
      </c>
      <c r="J218" s="45">
        <f>Profiles!F46</f>
        <v>0.12</v>
      </c>
      <c r="K218" s="46">
        <f>IF(AND(H218&gt;0,K97&lt;Inputs!$B$15),K97*(1-H218),K97)</f>
        <v>0.38980744735054351</v>
      </c>
      <c r="L218" s="46">
        <f t="shared" si="152"/>
        <v>0</v>
      </c>
      <c r="M218" s="114">
        <f>IF(Inputs!$B$26="Yes",VLOOKUP(D218,VWR[#All],2,FALSE),1)</f>
        <v>1</v>
      </c>
      <c r="N218" s="114">
        <f>IF(Inputs!$B$27="Yes",VLOOKUP(D218,VVR[#All],2,FALSE),0)</f>
        <v>0</v>
      </c>
      <c r="O218" s="46">
        <f>(J97*Inputs!$B$18*Inputs!$B$43/$C$78)*M218</f>
        <v>3.0640017559357093</v>
      </c>
      <c r="P218" s="46">
        <f t="shared" si="153"/>
        <v>0</v>
      </c>
      <c r="Q218" s="46">
        <f t="shared" si="154"/>
        <v>2.6741943085851658</v>
      </c>
      <c r="R218" s="46">
        <f t="shared" si="155"/>
        <v>0.38980744735054351</v>
      </c>
      <c r="S218" s="103">
        <f t="shared" si="156"/>
        <v>0</v>
      </c>
      <c r="T218" s="46">
        <f t="shared" si="157"/>
        <v>3.0640017559357093</v>
      </c>
      <c r="U218" s="46">
        <f t="shared" si="145"/>
        <v>0</v>
      </c>
      <c r="V218" s="46">
        <f t="shared" si="158"/>
        <v>2.6741943085851658</v>
      </c>
      <c r="W218" s="46">
        <f t="shared" si="146"/>
        <v>0.38980744735054351</v>
      </c>
      <c r="X218" s="103">
        <f t="shared" si="147"/>
        <v>10.446071517910804</v>
      </c>
      <c r="Y218" s="46">
        <f>X218*Inputs!$B$8</f>
        <v>3.9695071768061054</v>
      </c>
      <c r="Z218" s="170">
        <f t="shared" si="159"/>
        <v>223.9695071768061</v>
      </c>
      <c r="AA218" s="104">
        <f>IF(AND(Z218&gt;=255,C218&lt;=Inputs!$B$7,V218&gt;0),(($AN$22-$AN$21)/($AM$22-$AM$21)*(Z218-$AM$21)+$AN$21)*O218,0)</f>
        <v>0</v>
      </c>
      <c r="AB218" s="104">
        <f t="shared" si="148"/>
        <v>3.0640017559357093</v>
      </c>
      <c r="AC218" s="46">
        <f t="shared" si="149"/>
        <v>0</v>
      </c>
      <c r="AD218" s="46">
        <f t="shared" si="160"/>
        <v>2.6741943085851658</v>
      </c>
      <c r="AE218" s="46">
        <f t="shared" si="150"/>
        <v>0.38980744735054351</v>
      </c>
      <c r="AF218" s="103">
        <f>IF(S218&gt;0,(((R218/O218)*S218)*Inputs!$B$12)+((Q218/O218)*S218)*Inputs!$B$23,0)</f>
        <v>0</v>
      </c>
      <c r="AG218" s="103">
        <f>IF(AA218&gt;0,(((W218/T218)*AA218)*Inputs!$B$12)+((V218/T218)*AA218)*Inputs!$B$23,0)</f>
        <v>0</v>
      </c>
      <c r="AH218" s="331">
        <f>IF(AB218&gt;0,((J218*Inputs!$B$18*Inputs!$B$43/$C$78)-O218),0)</f>
        <v>0</v>
      </c>
      <c r="AI218" s="331">
        <f>IFERROR(((R218/O218)*AH218)*((Inputs!$B$12)+(((Q218/O218)*AH218)*Inputs!$B$23)),0)</f>
        <v>0</v>
      </c>
      <c r="AJ218" s="255"/>
      <c r="AK218" s="255"/>
      <c r="AL218" s="255">
        <f>IF(O218&gt;0,((R218/O218)*(O218-O97)*Inputs!$B$12)+((Q218/O218)*(O218-O97)*Inputs!$B$23),0)</f>
        <v>0.1326262734061921</v>
      </c>
      <c r="AM218" s="103">
        <f>(K97-K218)*Inputs!$B$12</f>
        <v>9.4375169836956457E-3</v>
      </c>
    </row>
    <row r="219" spans="2:39">
      <c r="B219" s="134">
        <v>0.625</v>
      </c>
      <c r="C219" s="125">
        <f>Profiles!E47</f>
        <v>256</v>
      </c>
      <c r="D219" s="126">
        <f>IF(C219&lt;Inputs!$B$7,Inputs!$B$6,C219)</f>
        <v>220</v>
      </c>
      <c r="E219" s="127">
        <f>IF(VLOOKUP(K98,Profiles!$B$58:$C$88,2,TRUE)&gt;0,VLOOKUP(K98,Profiles!$B$58:$C$88,2,TRUE),0)</f>
        <v>0.96</v>
      </c>
      <c r="F219" s="127">
        <f t="shared" si="151"/>
        <v>0.140625</v>
      </c>
      <c r="G219" s="127">
        <f>F219*Inputs!$B$11</f>
        <v>0.12796874999999999</v>
      </c>
      <c r="H219" s="127">
        <f t="shared" si="161"/>
        <v>9.1634114583333259E-2</v>
      </c>
      <c r="I219" s="45">
        <f>Profiles!I21</f>
        <v>0.02</v>
      </c>
      <c r="J219" s="45">
        <f>Profiles!F47</f>
        <v>0.11</v>
      </c>
      <c r="K219" s="46">
        <f>IF(AND(H219&gt;0,K98&lt;Inputs!$B$15),K98*(1-H219),K98)</f>
        <v>0.38980744735054351</v>
      </c>
      <c r="L219" s="46">
        <f t="shared" si="152"/>
        <v>0</v>
      </c>
      <c r="M219" s="114">
        <f>IF(Inputs!$B$26="Yes",VLOOKUP(D219,VWR[#All],2,FALSE),1)</f>
        <v>1</v>
      </c>
      <c r="N219" s="114">
        <f>IF(Inputs!$B$27="Yes",VLOOKUP(D219,VVR[#All],2,FALSE),0)</f>
        <v>0</v>
      </c>
      <c r="O219" s="46">
        <f>(J98*Inputs!$B$18*Inputs!$B$43/$C$78)*M219</f>
        <v>2.8086682762744002</v>
      </c>
      <c r="P219" s="46">
        <f t="shared" si="153"/>
        <v>0</v>
      </c>
      <c r="Q219" s="46">
        <f t="shared" si="154"/>
        <v>2.4188608289238567</v>
      </c>
      <c r="R219" s="46">
        <f t="shared" si="155"/>
        <v>0.38980744735054351</v>
      </c>
      <c r="S219" s="103">
        <f t="shared" si="156"/>
        <v>0</v>
      </c>
      <c r="T219" s="46">
        <f t="shared" si="157"/>
        <v>2.8086682762744002</v>
      </c>
      <c r="U219" s="46">
        <f t="shared" si="145"/>
        <v>0</v>
      </c>
      <c r="V219" s="46">
        <f t="shared" si="158"/>
        <v>2.4188608289238567</v>
      </c>
      <c r="W219" s="46">
        <f t="shared" si="146"/>
        <v>0.38980744735054351</v>
      </c>
      <c r="X219" s="103">
        <f t="shared" si="147"/>
        <v>9.4486751129838158</v>
      </c>
      <c r="Y219" s="46">
        <f>X219*Inputs!$B$8</f>
        <v>3.5904965429338502</v>
      </c>
      <c r="Z219" s="170">
        <f t="shared" si="159"/>
        <v>223.59049654293386</v>
      </c>
      <c r="AA219" s="104">
        <f>IF(AND(Z219&gt;=255,C219&lt;=Inputs!$B$7,V219&gt;0),(($AN$22-$AN$21)/($AM$22-$AM$21)*(Z219-$AM$21)+$AN$21)*O219,0)</f>
        <v>0</v>
      </c>
      <c r="AB219" s="104">
        <f t="shared" si="148"/>
        <v>2.8086682762744002</v>
      </c>
      <c r="AC219" s="46">
        <f t="shared" si="149"/>
        <v>0</v>
      </c>
      <c r="AD219" s="46">
        <f t="shared" si="160"/>
        <v>2.4188608289238567</v>
      </c>
      <c r="AE219" s="46">
        <f t="shared" si="150"/>
        <v>0.38980744735054351</v>
      </c>
      <c r="AF219" s="103">
        <f>IF(S219&gt;0,(((R219/O219)*S219)*Inputs!$B$12)+((Q219/O219)*S219)*Inputs!$B$23,0)</f>
        <v>0</v>
      </c>
      <c r="AG219" s="103">
        <f>IF(AA219&gt;0,(((W219/T219)*AA219)*Inputs!$B$12)+((V219/T219)*AA219)*Inputs!$B$23,0)</f>
        <v>0</v>
      </c>
      <c r="AH219" s="331">
        <f>IF(AB219&gt;0,((J219*Inputs!$B$18*Inputs!$B$43/$C$78)-O219),0)</f>
        <v>0</v>
      </c>
      <c r="AI219" s="331">
        <f>IFERROR(((R219/O219)*AH219)*((Inputs!$B$12)+(((Q219/O219)*AH219)*Inputs!$B$23)),0)</f>
        <v>0</v>
      </c>
      <c r="AJ219" s="255"/>
      <c r="AK219" s="255"/>
      <c r="AL219" s="255">
        <f>IF(O219&gt;0,((R219/O219)*(O219-O98)*Inputs!$B$12)+((Q219/O219)*(O219-O98)*Inputs!$B$23),0)</f>
        <v>0.12282146778719787</v>
      </c>
      <c r="AM219" s="103">
        <f>(K98-K219)*Inputs!$B$12</f>
        <v>9.4375169836956457E-3</v>
      </c>
    </row>
    <row r="220" spans="2:39">
      <c r="B220" s="134">
        <v>0.66666666666666696</v>
      </c>
      <c r="C220" s="125">
        <f>Profiles!E48</f>
        <v>255</v>
      </c>
      <c r="D220" s="126">
        <f>IF(C220&lt;Inputs!$B$7,Inputs!$B$6,C220)</f>
        <v>220</v>
      </c>
      <c r="E220" s="127">
        <f>IF(VLOOKUP(K99,Profiles!$B$58:$C$88,2,TRUE)&gt;0,VLOOKUP(K99,Profiles!$B$58:$C$88,2,TRUE),0)</f>
        <v>0.98</v>
      </c>
      <c r="F220" s="127">
        <f t="shared" si="151"/>
        <v>0.13725490196078433</v>
      </c>
      <c r="G220" s="127">
        <f>F220*Inputs!$B$11</f>
        <v>0.12490196078431375</v>
      </c>
      <c r="H220" s="127">
        <f t="shared" si="161"/>
        <v>0.10704281712685071</v>
      </c>
      <c r="I220" s="45">
        <f>Profiles!I22</f>
        <v>0.05</v>
      </c>
      <c r="J220" s="45">
        <f>Profiles!F48</f>
        <v>0.08</v>
      </c>
      <c r="K220" s="46">
        <f>IF(AND(H220&gt;0,K99&lt;Inputs!$B$15),K99*(1-H220),K99)</f>
        <v>0.95798776032152</v>
      </c>
      <c r="L220" s="46">
        <f t="shared" si="152"/>
        <v>0</v>
      </c>
      <c r="M220" s="114">
        <f>IF(Inputs!$B$26="Yes",VLOOKUP(D220,VWR[#All],2,FALSE),1)</f>
        <v>1</v>
      </c>
      <c r="N220" s="114">
        <f>IF(Inputs!$B$27="Yes",VLOOKUP(D220,VVR[#All],2,FALSE),0)</f>
        <v>0</v>
      </c>
      <c r="O220" s="46">
        <f>(J99*Inputs!$B$18*Inputs!$B$43/$C$78)*M220</f>
        <v>2.0426678372904727</v>
      </c>
      <c r="P220" s="46">
        <f t="shared" si="153"/>
        <v>0</v>
      </c>
      <c r="Q220" s="46">
        <f t="shared" si="154"/>
        <v>1.0846800769689526</v>
      </c>
      <c r="R220" s="46">
        <f t="shared" si="155"/>
        <v>0.95798776032152</v>
      </c>
      <c r="S220" s="103">
        <f t="shared" si="156"/>
        <v>0</v>
      </c>
      <c r="T220" s="46">
        <f t="shared" si="157"/>
        <v>2.0426678372904727</v>
      </c>
      <c r="U220" s="46">
        <f t="shared" si="145"/>
        <v>0</v>
      </c>
      <c r="V220" s="46">
        <f t="shared" si="158"/>
        <v>1.0846800769689526</v>
      </c>
      <c r="W220" s="46">
        <f t="shared" si="146"/>
        <v>0.95798776032152</v>
      </c>
      <c r="X220" s="103">
        <f t="shared" si="147"/>
        <v>4.2536473606625593</v>
      </c>
      <c r="Y220" s="46">
        <f>X220*Inputs!$B$8</f>
        <v>1.6163859970517727</v>
      </c>
      <c r="Z220" s="170">
        <f t="shared" si="159"/>
        <v>221.61638599705176</v>
      </c>
      <c r="AA220" s="104">
        <f>IF(AND(Z220&gt;=255,C220&lt;=Inputs!$B$7,V220&gt;0),(($AN$22-$AN$21)/($AM$22-$AM$21)*(Z220-$AM$21)+$AN$21)*O220,0)</f>
        <v>0</v>
      </c>
      <c r="AB220" s="104">
        <f t="shared" si="148"/>
        <v>2.0426678372904727</v>
      </c>
      <c r="AC220" s="46">
        <f t="shared" si="149"/>
        <v>0</v>
      </c>
      <c r="AD220" s="46">
        <f t="shared" si="160"/>
        <v>1.0846800769689526</v>
      </c>
      <c r="AE220" s="46">
        <f t="shared" si="150"/>
        <v>0.95798776032152</v>
      </c>
      <c r="AF220" s="103">
        <f>IF(S220&gt;0,(((R220/O220)*S220)*Inputs!$B$12)+((Q220/O220)*S220)*Inputs!$B$23,0)</f>
        <v>0</v>
      </c>
      <c r="AG220" s="103">
        <f>IF(AA220&gt;0,(((W220/T220)*AA220)*Inputs!$B$12)+((V220/T220)*AA220)*Inputs!$B$23,0)</f>
        <v>0</v>
      </c>
      <c r="AH220" s="331">
        <f>IF(AB220&gt;0,((J220*Inputs!$B$18*Inputs!$B$43/$C$78)-O220),0)</f>
        <v>0</v>
      </c>
      <c r="AI220" s="331">
        <f>IFERROR(((R220/O220)*AH220)*((Inputs!$B$12)+(((Q220/O220)*AH220)*Inputs!$B$23)),0)</f>
        <v>0</v>
      </c>
      <c r="AJ220" s="255"/>
      <c r="AK220" s="255"/>
      <c r="AL220" s="255">
        <f>IF(O220&gt;0,((R220/O220)*(O220-O99)*Inputs!$B$12)+((Q220/O220)*(O220-O99)*Inputs!$B$23),0)</f>
        <v>9.6020979123583733E-2</v>
      </c>
      <c r="AM220" s="103">
        <f>(K99-K220)*Inputs!$B$12</f>
        <v>2.7561198392400437E-2</v>
      </c>
    </row>
    <row r="221" spans="2:39">
      <c r="B221" s="134">
        <v>0.70833333333333304</v>
      </c>
      <c r="C221" s="125">
        <f>Profiles!E49</f>
        <v>254</v>
      </c>
      <c r="D221" s="126">
        <f>IF(C221&lt;Inputs!$B$7,Inputs!$B$6,C221)</f>
        <v>220</v>
      </c>
      <c r="E221" s="127">
        <f>IF(VLOOKUP(K100,Profiles!$B$58:$C$88,2,TRUE)&gt;0,VLOOKUP(K100,Profiles!$B$58:$C$88,2,TRUE),0)</f>
        <v>0.98</v>
      </c>
      <c r="F221" s="127">
        <f t="shared" si="151"/>
        <v>0.13385826771653545</v>
      </c>
      <c r="G221" s="127">
        <f>F221*Inputs!$B$11</f>
        <v>0.12181102362204727</v>
      </c>
      <c r="H221" s="127">
        <f t="shared" si="161"/>
        <v>0.10388879961433395</v>
      </c>
      <c r="I221" s="45">
        <f>Profiles!I23</f>
        <v>0.08</v>
      </c>
      <c r="J221" s="45">
        <f>Profiles!F49</f>
        <v>4.4999999999999998E-2</v>
      </c>
      <c r="K221" s="46">
        <f>IF(AND(H221&gt;0,K100&lt;Inputs!$B$15),K100*(1-H221),K100)</f>
        <v>1.5381943561402651</v>
      </c>
      <c r="L221" s="46">
        <f t="shared" si="152"/>
        <v>0</v>
      </c>
      <c r="M221" s="114">
        <f>IF(Inputs!$B$26="Yes",VLOOKUP(D221,VWR[#All],2,FALSE),1)</f>
        <v>1</v>
      </c>
      <c r="N221" s="114">
        <f>IF(Inputs!$B$27="Yes",VLOOKUP(D221,VVR[#All],2,FALSE),0)</f>
        <v>0</v>
      </c>
      <c r="O221" s="46">
        <f>(J100*Inputs!$B$18*Inputs!$B$43/$C$78)*M221</f>
        <v>1.1490006584758909</v>
      </c>
      <c r="P221" s="46">
        <f t="shared" si="153"/>
        <v>0.38919369766437417</v>
      </c>
      <c r="Q221" s="46">
        <f t="shared" si="154"/>
        <v>0</v>
      </c>
      <c r="R221" s="46">
        <f t="shared" si="155"/>
        <v>1.1490006584758909</v>
      </c>
      <c r="S221" s="103">
        <f t="shared" si="156"/>
        <v>0</v>
      </c>
      <c r="T221" s="46">
        <f t="shared" si="157"/>
        <v>1.1490006584758909</v>
      </c>
      <c r="U221" s="46">
        <f t="shared" si="145"/>
        <v>0.38919369766437417</v>
      </c>
      <c r="V221" s="46">
        <f t="shared" si="158"/>
        <v>0</v>
      </c>
      <c r="W221" s="46">
        <f t="shared" si="146"/>
        <v>1.1490006584758909</v>
      </c>
      <c r="X221" s="103">
        <f t="shared" si="147"/>
        <v>0</v>
      </c>
      <c r="Y221" s="46">
        <f>X221*Inputs!$B$8</f>
        <v>0</v>
      </c>
      <c r="Z221" s="170">
        <f t="shared" si="159"/>
        <v>220</v>
      </c>
      <c r="AA221" s="104">
        <f>IF(AND(Z221&gt;=255,C221&lt;=Inputs!$B$7,V221&gt;0),(($AN$22-$AN$21)/($AM$22-$AM$21)*(Z221-$AM$21)+$AN$21)*O221,0)</f>
        <v>0</v>
      </c>
      <c r="AB221" s="104">
        <f t="shared" si="148"/>
        <v>1.1490006584758909</v>
      </c>
      <c r="AC221" s="46">
        <f t="shared" si="149"/>
        <v>0.38919369766437417</v>
      </c>
      <c r="AD221" s="46">
        <f t="shared" si="160"/>
        <v>0</v>
      </c>
      <c r="AE221" s="46">
        <f t="shared" si="150"/>
        <v>1.1490006584758909</v>
      </c>
      <c r="AF221" s="103">
        <f>IF(S221&gt;0,(((R221/O221)*S221)*Inputs!$B$12)+((Q221/O221)*S221)*Inputs!$B$23,0)</f>
        <v>0</v>
      </c>
      <c r="AG221" s="103">
        <f>IF(AA221&gt;0,(((W221/T221)*AA221)*Inputs!$B$12)+((V221/T221)*AA221)*Inputs!$B$23,0)</f>
        <v>0</v>
      </c>
      <c r="AH221" s="331">
        <f>IF(AB221&gt;0,((J221*Inputs!$B$18*Inputs!$B$43/$C$78)-O221),0)</f>
        <v>0</v>
      </c>
      <c r="AI221" s="331">
        <f>IFERROR(((R221/O221)*AH221)*((Inputs!$B$12)+(((Q221/O221)*AH221)*Inputs!$B$23)),0)</f>
        <v>0</v>
      </c>
      <c r="AJ221" s="255"/>
      <c r="AK221" s="255"/>
      <c r="AL221" s="255">
        <f>IF(O221&gt;0,((R221/O221)*(O221-O100)*Inputs!$B$12)+((Q221/O221)*(O221-O100)*Inputs!$B$23),0)</f>
        <v>5.882883371396562E-2</v>
      </c>
      <c r="AM221" s="103">
        <f>(K100-K221)*Inputs!$B$12</f>
        <v>4.2798571917640728E-2</v>
      </c>
    </row>
    <row r="222" spans="2:39">
      <c r="B222" s="134">
        <v>0.75</v>
      </c>
      <c r="C222" s="125">
        <f>Profiles!E50</f>
        <v>254</v>
      </c>
      <c r="D222" s="126">
        <f>IF(C222&lt;Inputs!$B$7,Inputs!$B$6,C222)</f>
        <v>220</v>
      </c>
      <c r="E222" s="127">
        <f>IF(VLOOKUP(K101,Profiles!$B$58:$C$88,2,TRUE)&gt;0,VLOOKUP(K101,Profiles!$B$58:$C$88,2,TRUE),0)</f>
        <v>0.98</v>
      </c>
      <c r="F222" s="127">
        <f t="shared" si="151"/>
        <v>0.13385826771653545</v>
      </c>
      <c r="G222" s="127">
        <f>F222*Inputs!$B$11</f>
        <v>0.12181102362204727</v>
      </c>
      <c r="H222" s="127">
        <f t="shared" si="161"/>
        <v>0.10388879961433395</v>
      </c>
      <c r="I222" s="45">
        <f>Profiles!I24</f>
        <v>0.12</v>
      </c>
      <c r="J222" s="45">
        <f>Profiles!F50</f>
        <v>0.02</v>
      </c>
      <c r="K222" s="46">
        <f>IF(AND(H222&gt;0,K101&lt;Inputs!$B$15),K101*(1-H222),K101)</f>
        <v>2.3072915342103975</v>
      </c>
      <c r="L222" s="46">
        <f t="shared" si="152"/>
        <v>0</v>
      </c>
      <c r="M222" s="114">
        <f>IF(Inputs!$B$26="Yes",VLOOKUP(D222,VWR[#All],2,FALSE),1)</f>
        <v>1</v>
      </c>
      <c r="N222" s="114">
        <f>IF(Inputs!$B$27="Yes",VLOOKUP(D222,VVR[#All],2,FALSE),0)</f>
        <v>0</v>
      </c>
      <c r="O222" s="46">
        <f>(J101*Inputs!$B$18*Inputs!$B$43/$C$78)*M222</f>
        <v>0.51066695932261819</v>
      </c>
      <c r="P222" s="46">
        <f t="shared" si="153"/>
        <v>1.7966245748877792</v>
      </c>
      <c r="Q222" s="46">
        <f t="shared" si="154"/>
        <v>0</v>
      </c>
      <c r="R222" s="46">
        <f t="shared" si="155"/>
        <v>0.51066695932261819</v>
      </c>
      <c r="S222" s="103">
        <f t="shared" si="156"/>
        <v>0</v>
      </c>
      <c r="T222" s="46">
        <f t="shared" si="157"/>
        <v>0.51066695932261819</v>
      </c>
      <c r="U222" s="46">
        <f t="shared" si="145"/>
        <v>1.7966245748877792</v>
      </c>
      <c r="V222" s="46">
        <f t="shared" si="158"/>
        <v>0</v>
      </c>
      <c r="W222" s="46">
        <f t="shared" si="146"/>
        <v>0.51066695932261819</v>
      </c>
      <c r="X222" s="103">
        <f t="shared" si="147"/>
        <v>0</v>
      </c>
      <c r="Y222" s="46">
        <f>X222*Inputs!$B$8</f>
        <v>0</v>
      </c>
      <c r="Z222" s="170">
        <f t="shared" si="159"/>
        <v>220</v>
      </c>
      <c r="AA222" s="104">
        <f>IF(AND(Z222&gt;=255,C222&lt;=Inputs!$B$7,V222&gt;0),(($AN$22-$AN$21)/($AM$22-$AM$21)*(Z222-$AM$21)+$AN$21)*O222,0)</f>
        <v>0</v>
      </c>
      <c r="AB222" s="104">
        <f t="shared" si="148"/>
        <v>0.51066695932261819</v>
      </c>
      <c r="AC222" s="46">
        <f t="shared" si="149"/>
        <v>1.7966245748877792</v>
      </c>
      <c r="AD222" s="46">
        <f t="shared" si="160"/>
        <v>0</v>
      </c>
      <c r="AE222" s="46">
        <f t="shared" si="150"/>
        <v>0.51066695932261819</v>
      </c>
      <c r="AF222" s="103">
        <f>IF(S222&gt;0,(((R222/O222)*S222)*Inputs!$B$12)+((Q222/O222)*S222)*Inputs!$B$23,0)</f>
        <v>0</v>
      </c>
      <c r="AG222" s="103">
        <f>IF(AA222&gt;0,(((W222/T222)*AA222)*Inputs!$B$12)+((V222/T222)*AA222)*Inputs!$B$23,0)</f>
        <v>0</v>
      </c>
      <c r="AH222" s="331">
        <f>IF(AB222&gt;0,((J222*Inputs!$B$18*Inputs!$B$43/$C$78)-O222),0)</f>
        <v>0</v>
      </c>
      <c r="AI222" s="331">
        <f>IFERROR(((R222/O222)*AH222)*((Inputs!$B$12)+(((Q222/O222)*AH222)*Inputs!$B$23)),0)</f>
        <v>0</v>
      </c>
      <c r="AJ222" s="255"/>
      <c r="AK222" s="255"/>
      <c r="AL222" s="255">
        <f>IF(O222&gt;0,((R222/O222)*(O222-O101)*Inputs!$B$12)+((Q222/O222)*(O222-O101)*Inputs!$B$23),0)</f>
        <v>2.6146148317318051E-2</v>
      </c>
      <c r="AM222" s="103">
        <f>(K101-K222)*Inputs!$B$12</f>
        <v>6.4197857876461095E-2</v>
      </c>
    </row>
    <row r="223" spans="2:39">
      <c r="B223" s="134">
        <v>0.79166666666666696</v>
      </c>
      <c r="C223" s="125">
        <f>Profiles!E51</f>
        <v>255</v>
      </c>
      <c r="D223" s="126">
        <f>IF(C223&lt;Inputs!$B$7,Inputs!$B$6,C223)</f>
        <v>220</v>
      </c>
      <c r="E223" s="127">
        <f>IF(VLOOKUP(K102,Profiles!$B$58:$C$88,2,TRUE)&gt;0,VLOOKUP(K102,Profiles!$B$58:$C$88,2,TRUE),0)</f>
        <v>0.98</v>
      </c>
      <c r="F223" s="127">
        <f t="shared" si="151"/>
        <v>0.13725490196078433</v>
      </c>
      <c r="G223" s="127">
        <f>F223*Inputs!$B$11</f>
        <v>0.12490196078431375</v>
      </c>
      <c r="H223" s="127">
        <f t="shared" si="161"/>
        <v>0.10704281712685071</v>
      </c>
      <c r="I223" s="45">
        <f>Profiles!I25</f>
        <v>0.12</v>
      </c>
      <c r="J223" s="45">
        <f>Profiles!F51</f>
        <v>0</v>
      </c>
      <c r="K223" s="46">
        <f>IF(AND(H223&gt;0,K102&lt;Inputs!$B$15),K102*(1-H223),K102)</f>
        <v>2.2991706247716479</v>
      </c>
      <c r="L223" s="46">
        <f t="shared" si="152"/>
        <v>0</v>
      </c>
      <c r="M223" s="114">
        <f>IF(Inputs!$B$26="Yes",VLOOKUP(D223,VWR[#All],2,FALSE),1)</f>
        <v>1</v>
      </c>
      <c r="N223" s="114">
        <f>IF(Inputs!$B$27="Yes",VLOOKUP(D223,VVR[#All],2,FALSE),0)</f>
        <v>0</v>
      </c>
      <c r="O223" s="46">
        <f>(J102*Inputs!$B$18*Inputs!$B$43/$C$78)*M223</f>
        <v>0</v>
      </c>
      <c r="P223" s="46">
        <f t="shared" si="153"/>
        <v>2.2991706247716479</v>
      </c>
      <c r="Q223" s="46">
        <f t="shared" si="154"/>
        <v>0</v>
      </c>
      <c r="R223" s="46">
        <f t="shared" si="155"/>
        <v>0</v>
      </c>
      <c r="S223" s="103">
        <f t="shared" si="156"/>
        <v>0</v>
      </c>
      <c r="T223" s="46">
        <f t="shared" si="157"/>
        <v>0</v>
      </c>
      <c r="U223" s="46">
        <f t="shared" si="145"/>
        <v>2.2991706247716479</v>
      </c>
      <c r="V223" s="46">
        <f t="shared" si="158"/>
        <v>0</v>
      </c>
      <c r="W223" s="46">
        <f t="shared" si="146"/>
        <v>0</v>
      </c>
      <c r="X223" s="103">
        <f t="shared" si="147"/>
        <v>0</v>
      </c>
      <c r="Y223" s="46">
        <f>X223*Inputs!$B$8</f>
        <v>0</v>
      </c>
      <c r="Z223" s="170">
        <f t="shared" si="159"/>
        <v>220</v>
      </c>
      <c r="AA223" s="104">
        <f>IF(AND(Z223&gt;=255,C223&lt;=Inputs!$B$7,V223&gt;0),(($AN$22-$AN$21)/($AM$22-$AM$21)*(Z223-$AM$21)+$AN$21)*O223,0)</f>
        <v>0</v>
      </c>
      <c r="AB223" s="104">
        <f t="shared" si="148"/>
        <v>0</v>
      </c>
      <c r="AC223" s="46">
        <f t="shared" si="149"/>
        <v>2.2991706247716479</v>
      </c>
      <c r="AD223" s="46">
        <f t="shared" si="160"/>
        <v>0</v>
      </c>
      <c r="AE223" s="46">
        <f t="shared" si="150"/>
        <v>0</v>
      </c>
      <c r="AF223" s="103">
        <f>IF(S223&gt;0,(((R223/O223)*S223)*Inputs!$B$12)+((Q223/O223)*S223)*Inputs!$B$23,0)</f>
        <v>0</v>
      </c>
      <c r="AG223" s="103">
        <f>IF(AA223&gt;0,(((W223/T223)*AA223)*Inputs!$B$12)+((V223/T223)*AA223)*Inputs!$B$23,0)</f>
        <v>0</v>
      </c>
      <c r="AH223" s="331">
        <f>IF(AB223&gt;0,((J223*Inputs!$B$18*Inputs!$B$43/$C$78)-O223),0)</f>
        <v>0</v>
      </c>
      <c r="AI223" s="331">
        <f>IFERROR(((R223/O223)*AH223)*((Inputs!$B$12)+(((Q223/O223)*AH223)*Inputs!$B$23)),0)</f>
        <v>0</v>
      </c>
      <c r="AJ223" s="255"/>
      <c r="AK223" s="255"/>
      <c r="AL223" s="255">
        <f>IF(O223&gt;0,((R223/O223)*(O223-O102)*Inputs!$B$12)+((Q223/O223)*(O223-O102)*Inputs!$B$23),0)</f>
        <v>0</v>
      </c>
      <c r="AM223" s="103">
        <f>(K102-K223)*Inputs!$B$12</f>
        <v>6.6146876141760985E-2</v>
      </c>
    </row>
    <row r="224" spans="2:39">
      <c r="B224" s="134">
        <v>0.83333333333333304</v>
      </c>
      <c r="C224" s="125">
        <f>Profiles!E52</f>
        <v>255</v>
      </c>
      <c r="D224" s="126">
        <f>IF(C224&lt;Inputs!$B$7,Inputs!$B$6,C224)</f>
        <v>220</v>
      </c>
      <c r="E224" s="127">
        <f>IF(VLOOKUP(K103,Profiles!$B$58:$C$88,2,TRUE)&gt;0,VLOOKUP(K103,Profiles!$B$58:$C$88,2,TRUE),0)</f>
        <v>0.98</v>
      </c>
      <c r="F224" s="127">
        <f t="shared" si="151"/>
        <v>0.13725490196078433</v>
      </c>
      <c r="G224" s="127">
        <f>F224*Inputs!$B$11</f>
        <v>0.12490196078431375</v>
      </c>
      <c r="H224" s="127">
        <f t="shared" si="161"/>
        <v>0.10704281712685071</v>
      </c>
      <c r="I224" s="45">
        <f>Profiles!I26</f>
        <v>0.08</v>
      </c>
      <c r="J224" s="45">
        <f>Profiles!F52</f>
        <v>0</v>
      </c>
      <c r="K224" s="46">
        <f>IF(AND(H224&gt;0,K103&lt;Inputs!$B$15),K103*(1-H224),K103)</f>
        <v>1.5327804165144319</v>
      </c>
      <c r="L224" s="46">
        <f>IF(D224=C224,1,0)</f>
        <v>0</v>
      </c>
      <c r="M224" s="114">
        <f>IF(Inputs!$B$26="Yes",VLOOKUP(D224,VWR[#All],2,FALSE),1)</f>
        <v>1</v>
      </c>
      <c r="N224" s="114">
        <f>IF(Inputs!$B$27="Yes",VLOOKUP(D224,VVR[#All],2,FALSE),0)</f>
        <v>0</v>
      </c>
      <c r="O224" s="46">
        <f>(J103*Inputs!$B$18*Inputs!$B$43/$C$78)*M224</f>
        <v>0</v>
      </c>
      <c r="P224" s="46">
        <f t="shared" si="153"/>
        <v>1.5327804165144319</v>
      </c>
      <c r="Q224" s="46">
        <f>IF(O224&gt;K224,MIN((O224-K224),5),0)</f>
        <v>0</v>
      </c>
      <c r="R224" s="46">
        <f t="shared" si="155"/>
        <v>0</v>
      </c>
      <c r="S224" s="103">
        <f t="shared" si="156"/>
        <v>0</v>
      </c>
      <c r="T224" s="46">
        <f t="shared" si="157"/>
        <v>0</v>
      </c>
      <c r="U224" s="46">
        <f t="shared" si="145"/>
        <v>1.5327804165144319</v>
      </c>
      <c r="V224" s="46">
        <f t="shared" si="158"/>
        <v>0</v>
      </c>
      <c r="W224" s="46">
        <f t="shared" si="146"/>
        <v>0</v>
      </c>
      <c r="X224" s="103">
        <f t="shared" si="147"/>
        <v>0</v>
      </c>
      <c r="Y224" s="46">
        <f>X224*Inputs!$B$8</f>
        <v>0</v>
      </c>
      <c r="Z224" s="170">
        <f t="shared" si="159"/>
        <v>220</v>
      </c>
      <c r="AA224" s="104">
        <f>IF(AND(Z224&gt;=255,C224&lt;=Inputs!$B$7,V224&gt;0),(($AN$22-$AN$21)/($AM$22-$AM$21)*(Z224-$AM$21)+$AN$21)*O224,0)</f>
        <v>0</v>
      </c>
      <c r="AB224" s="104">
        <f t="shared" si="148"/>
        <v>0</v>
      </c>
      <c r="AC224" s="46">
        <f t="shared" si="149"/>
        <v>1.5327804165144319</v>
      </c>
      <c r="AD224" s="46">
        <f t="shared" si="160"/>
        <v>0</v>
      </c>
      <c r="AE224" s="46">
        <f t="shared" si="150"/>
        <v>0</v>
      </c>
      <c r="AF224" s="103">
        <f>IF(S224&gt;0,(((R224/O224)*S224)*Inputs!$B$12)+((Q224/O224)*S224)*Inputs!$B$23,0)</f>
        <v>0</v>
      </c>
      <c r="AG224" s="103">
        <f>IF(AA224&gt;0,(((W224/T224)*AA224)*Inputs!$B$12)+((V224/T224)*AA224)*Inputs!$B$23,0)</f>
        <v>0</v>
      </c>
      <c r="AH224" s="331">
        <f>IF(AB224&gt;0,((J224*Inputs!$B$18*Inputs!$B$43/$C$78)-O224),0)</f>
        <v>0</v>
      </c>
      <c r="AI224" s="331">
        <f>IFERROR(((R224/O224)*AH224)*((Inputs!$B$12)+(((Q224/O224)*AH224)*Inputs!$B$23)),0)</f>
        <v>0</v>
      </c>
      <c r="AJ224" s="255"/>
      <c r="AK224" s="255"/>
      <c r="AL224" s="255">
        <f>IF(O224&gt;0,((R224/O224)*(O224-O103)*Inputs!$B$12)+((Q224/O224)*(O224-O103)*Inputs!$B$23),0)</f>
        <v>0</v>
      </c>
      <c r="AM224" s="103">
        <f>(K103-K224)*Inputs!$B$12</f>
        <v>4.4097917427840708E-2</v>
      </c>
    </row>
    <row r="225" spans="2:39">
      <c r="B225" s="134">
        <v>0.875</v>
      </c>
      <c r="C225" s="125">
        <f>Profiles!E53</f>
        <v>255</v>
      </c>
      <c r="D225" s="126">
        <f>IF(C225&lt;Inputs!$B$7,Inputs!$B$6,C225)</f>
        <v>220</v>
      </c>
      <c r="E225" s="127">
        <f>IF(VLOOKUP(K104,Profiles!$B$58:$C$88,2,TRUE)&gt;0,VLOOKUP(K104,Profiles!$B$58:$C$88,2,TRUE),0)</f>
        <v>0.98</v>
      </c>
      <c r="F225" s="127">
        <f t="shared" si="151"/>
        <v>0.13725490196078433</v>
      </c>
      <c r="G225" s="127">
        <f>F225*Inputs!$B$11</f>
        <v>0.12490196078431375</v>
      </c>
      <c r="H225" s="127">
        <f t="shared" si="161"/>
        <v>0.10704281712685071</v>
      </c>
      <c r="I225" s="45">
        <f>Profiles!I27</f>
        <v>0.06</v>
      </c>
      <c r="J225" s="45">
        <f>Profiles!F53</f>
        <v>0</v>
      </c>
      <c r="K225" s="46">
        <f>IF(AND(H225&gt;0,K104&lt;Inputs!$B$15),K104*(1-H225),K104)</f>
        <v>1.149585312385824</v>
      </c>
      <c r="L225" s="46">
        <f t="shared" si="152"/>
        <v>0</v>
      </c>
      <c r="M225" s="114">
        <f>IF(Inputs!$B$26="Yes",VLOOKUP(D225,VWR[#All],2,FALSE),1)</f>
        <v>1</v>
      </c>
      <c r="N225" s="114">
        <f>IF(Inputs!$B$27="Yes",VLOOKUP(D225,VVR[#All],2,FALSE),0)</f>
        <v>0</v>
      </c>
      <c r="O225" s="46">
        <f>(J104*Inputs!$B$18*Inputs!$B$43/$C$78)*M225</f>
        <v>0</v>
      </c>
      <c r="P225" s="46">
        <f t="shared" si="153"/>
        <v>1.149585312385824</v>
      </c>
      <c r="Q225" s="46">
        <f t="shared" si="154"/>
        <v>0</v>
      </c>
      <c r="R225" s="46">
        <f t="shared" si="155"/>
        <v>0</v>
      </c>
      <c r="S225" s="103">
        <f t="shared" si="156"/>
        <v>0</v>
      </c>
      <c r="T225" s="46">
        <f t="shared" si="157"/>
        <v>0</v>
      </c>
      <c r="U225" s="46">
        <f t="shared" si="145"/>
        <v>1.149585312385824</v>
      </c>
      <c r="V225" s="46">
        <f t="shared" si="158"/>
        <v>0</v>
      </c>
      <c r="W225" s="46">
        <f t="shared" si="146"/>
        <v>0</v>
      </c>
      <c r="X225" s="103">
        <f t="shared" si="147"/>
        <v>0</v>
      </c>
      <c r="Y225" s="46">
        <f>X225*Inputs!$B$8</f>
        <v>0</v>
      </c>
      <c r="Z225" s="170">
        <f t="shared" si="159"/>
        <v>220</v>
      </c>
      <c r="AA225" s="104">
        <f>IF(AND(Z225&gt;=255,C225&lt;=Inputs!$B$7,V225&gt;0),(($AN$22-$AN$21)/($AM$22-$AM$21)*(Z225-$AM$21)+$AN$21)*O225,0)</f>
        <v>0</v>
      </c>
      <c r="AB225" s="104">
        <f t="shared" si="148"/>
        <v>0</v>
      </c>
      <c r="AC225" s="46">
        <f t="shared" si="149"/>
        <v>1.149585312385824</v>
      </c>
      <c r="AD225" s="46">
        <f t="shared" si="160"/>
        <v>0</v>
      </c>
      <c r="AE225" s="46">
        <f t="shared" si="150"/>
        <v>0</v>
      </c>
      <c r="AF225" s="103">
        <f>IF(S225&gt;0,(((R225/O225)*S225)*Inputs!$B$12)+((Q225/O225)*S225)*Inputs!$B$23,0)</f>
        <v>0</v>
      </c>
      <c r="AG225" s="103">
        <f>IF(AA225&gt;0,(((W225/T225)*AA225)*Inputs!$B$12)+((V225/T225)*AA225)*Inputs!$B$23,0)</f>
        <v>0</v>
      </c>
      <c r="AH225" s="331">
        <f>IF(AB225&gt;0,((J225*Inputs!$B$18*Inputs!$B$43/$C$78)-O225),0)</f>
        <v>0</v>
      </c>
      <c r="AI225" s="331">
        <f>IFERROR(((R225/O225)*AH225)*((Inputs!$B$12)+(((Q225/O225)*AH225)*Inputs!$B$23)),0)</f>
        <v>0</v>
      </c>
      <c r="AJ225" s="255"/>
      <c r="AK225" s="255"/>
      <c r="AL225" s="255">
        <f>IF(O225&gt;0,((R225/O225)*(O225-O104)*Inputs!$B$12)+((Q225/O225)*(O225-O104)*Inputs!$B$23),0)</f>
        <v>0</v>
      </c>
      <c r="AM225" s="103">
        <f>(K104-K225)*Inputs!$B$12</f>
        <v>3.3073438070880493E-2</v>
      </c>
    </row>
    <row r="226" spans="2:39">
      <c r="B226" s="134">
        <v>0.91666666666666696</v>
      </c>
      <c r="C226" s="125">
        <f>Profiles!E54</f>
        <v>255</v>
      </c>
      <c r="D226" s="126">
        <f>IF(C226&lt;Inputs!$B$7,Inputs!$B$6,C226)</f>
        <v>220</v>
      </c>
      <c r="E226" s="127">
        <f>IF(VLOOKUP(K105,Profiles!$B$58:$C$88,2,TRUE)&gt;0,VLOOKUP(K105,Profiles!$B$58:$C$88,2,TRUE),0)</f>
        <v>0.97</v>
      </c>
      <c r="F226" s="127">
        <f t="shared" si="151"/>
        <v>0.13725490196078433</v>
      </c>
      <c r="G226" s="127">
        <f>F226*Inputs!$B$11</f>
        <v>0.12490196078431375</v>
      </c>
      <c r="H226" s="127">
        <f t="shared" si="161"/>
        <v>9.783707297351929E-2</v>
      </c>
      <c r="I226" s="45">
        <f>Profiles!I28</f>
        <v>0.03</v>
      </c>
      <c r="J226" s="45">
        <f>Profiles!F54</f>
        <v>0</v>
      </c>
      <c r="K226" s="46">
        <f>IF(AND(H226&gt;0,K105&lt;Inputs!$B$15),K105*(1-H226),K105)</f>
        <v>0.58071835367943681</v>
      </c>
      <c r="L226" s="46">
        <f t="shared" si="152"/>
        <v>0</v>
      </c>
      <c r="M226" s="114">
        <f>IF(Inputs!$B$26="Yes",VLOOKUP(D226,VWR[#All],2,FALSE),1)</f>
        <v>1</v>
      </c>
      <c r="N226" s="114">
        <f>IF(Inputs!$B$27="Yes",VLOOKUP(D226,VVR[#All],2,FALSE),0)</f>
        <v>0</v>
      </c>
      <c r="O226" s="46">
        <f>(J105*Inputs!$B$18*Inputs!$B$43/$C$78)*M226</f>
        <v>0</v>
      </c>
      <c r="P226" s="46">
        <f t="shared" si="153"/>
        <v>0.58071835367943681</v>
      </c>
      <c r="Q226" s="46">
        <f t="shared" si="154"/>
        <v>0</v>
      </c>
      <c r="R226" s="46">
        <f t="shared" si="155"/>
        <v>0</v>
      </c>
      <c r="S226" s="103">
        <f t="shared" si="156"/>
        <v>0</v>
      </c>
      <c r="T226" s="46">
        <f t="shared" si="157"/>
        <v>0</v>
      </c>
      <c r="U226" s="46">
        <f t="shared" si="145"/>
        <v>0.58071835367943681</v>
      </c>
      <c r="V226" s="46">
        <f t="shared" si="158"/>
        <v>0</v>
      </c>
      <c r="W226" s="46">
        <f t="shared" si="146"/>
        <v>0</v>
      </c>
      <c r="X226" s="103">
        <f t="shared" si="147"/>
        <v>0</v>
      </c>
      <c r="Y226" s="46">
        <f>X226*Inputs!$B$8</f>
        <v>0</v>
      </c>
      <c r="Z226" s="170">
        <f t="shared" si="159"/>
        <v>220</v>
      </c>
      <c r="AA226" s="104">
        <f>IF(AND(Z226&gt;=255,C226&lt;=Inputs!$B$7,V226&gt;0),(($AN$22-$AN$21)/($AM$22-$AM$21)*(Z226-$AM$21)+$AN$21)*O226,0)</f>
        <v>0</v>
      </c>
      <c r="AB226" s="104">
        <f t="shared" si="148"/>
        <v>0</v>
      </c>
      <c r="AC226" s="46">
        <f t="shared" si="149"/>
        <v>0.58071835367943681</v>
      </c>
      <c r="AD226" s="46">
        <f t="shared" si="160"/>
        <v>0</v>
      </c>
      <c r="AE226" s="46">
        <f t="shared" si="150"/>
        <v>0</v>
      </c>
      <c r="AF226" s="103">
        <f>IF(S226&gt;0,(((R226/O226)*S226)*Inputs!$B$12)+((Q226/O226)*S226)*Inputs!$B$23,0)</f>
        <v>0</v>
      </c>
      <c r="AG226" s="103">
        <f>IF(AA226&gt;0,(((W226/T226)*AA226)*Inputs!$B$12)+((V226/T226)*AA226)*Inputs!$B$23,0)</f>
        <v>0</v>
      </c>
      <c r="AH226" s="331">
        <f>IF(AB226&gt;0,((J226*Inputs!$B$18*Inputs!$B$43/$C$78)-O226),0)</f>
        <v>0</v>
      </c>
      <c r="AI226" s="331">
        <f>IFERROR(((R226/O226)*AH226)*((Inputs!$B$12)+(((Q226/O226)*AH226)*Inputs!$B$23)),0)</f>
        <v>0</v>
      </c>
      <c r="AJ226" s="255"/>
      <c r="AK226" s="255"/>
      <c r="AL226" s="255">
        <f>IF(O226&gt;0,((R226/O226)*(O226-O105)*Inputs!$B$12)+((Q226/O226)*(O226-O105)*Inputs!$B$23),0)</f>
        <v>0</v>
      </c>
      <c r="AM226" s="103">
        <f>(K105-K226)*Inputs!$B$12</f>
        <v>1.5114551638674287E-2</v>
      </c>
    </row>
    <row r="227" spans="2:39">
      <c r="B227" s="134">
        <v>0.95833333333333304</v>
      </c>
      <c r="C227" s="125">
        <f>Profiles!E55</f>
        <v>255</v>
      </c>
      <c r="D227" s="126">
        <f>IF(C227&lt;Inputs!$B$7,Inputs!$B$6,C227)</f>
        <v>220</v>
      </c>
      <c r="E227" s="127">
        <f>IF(VLOOKUP(K106,Profiles!$B$58:$C$88,2,TRUE)&gt;0,VLOOKUP(K106,Profiles!$B$58:$C$88,2,TRUE),0)</f>
        <v>0.92</v>
      </c>
      <c r="F227" s="127">
        <f t="shared" si="151"/>
        <v>0.13725490196078433</v>
      </c>
      <c r="G227" s="127">
        <f>F227*Inputs!$B$11</f>
        <v>0.12490196078431375</v>
      </c>
      <c r="H227" s="127">
        <f t="shared" si="161"/>
        <v>4.8806479113384538E-2</v>
      </c>
      <c r="I227" s="45">
        <f>Profiles!I29</f>
        <v>0.01</v>
      </c>
      <c r="J227" s="45">
        <f>Profiles!F55</f>
        <v>0</v>
      </c>
      <c r="K227" s="46">
        <f>IF(AND(H227&gt;0,K106&lt;Inputs!$B$15),K106*(1-H227),K106)</f>
        <v>0.20409304459023683</v>
      </c>
      <c r="L227" s="46">
        <f t="shared" si="152"/>
        <v>0</v>
      </c>
      <c r="M227" s="114">
        <f>IF(Inputs!$B$26="Yes",VLOOKUP(D227,VWR[#All],2,FALSE),1)</f>
        <v>1</v>
      </c>
      <c r="N227" s="114">
        <f>IF(Inputs!$B$27="Yes",VLOOKUP(D227,VVR[#All],2,FALSE),0)</f>
        <v>0</v>
      </c>
      <c r="O227" s="46">
        <f>(J106*Inputs!$B$18*Inputs!$B$43/$C$78)*M227</f>
        <v>0</v>
      </c>
      <c r="P227" s="46">
        <f t="shared" si="153"/>
        <v>0.20409304459023683</v>
      </c>
      <c r="Q227" s="46">
        <f t="shared" si="154"/>
        <v>0</v>
      </c>
      <c r="R227" s="46">
        <f t="shared" si="155"/>
        <v>0</v>
      </c>
      <c r="S227" s="103">
        <f t="shared" si="156"/>
        <v>0</v>
      </c>
      <c r="T227" s="46">
        <f t="shared" si="157"/>
        <v>0</v>
      </c>
      <c r="U227" s="46">
        <f t="shared" si="145"/>
        <v>0.20409304459023683</v>
      </c>
      <c r="V227" s="46">
        <f t="shared" si="158"/>
        <v>0</v>
      </c>
      <c r="W227" s="46">
        <f t="shared" si="146"/>
        <v>0</v>
      </c>
      <c r="X227" s="103">
        <f t="shared" si="147"/>
        <v>0</v>
      </c>
      <c r="Y227" s="46">
        <f>X227*Inputs!$B$8</f>
        <v>0</v>
      </c>
      <c r="Z227" s="170">
        <f t="shared" si="159"/>
        <v>220</v>
      </c>
      <c r="AA227" s="104">
        <f>IF(AND(Z227&gt;=255,C227&lt;=Inputs!$B$7,V227&gt;0),(($AN$22-$AN$21)/($AM$22-$AM$21)*(Z227-$AM$21)+$AN$21)*O227,0)</f>
        <v>0</v>
      </c>
      <c r="AB227" s="104">
        <f t="shared" si="148"/>
        <v>0</v>
      </c>
      <c r="AC227" s="46">
        <f t="shared" si="149"/>
        <v>0.20409304459023683</v>
      </c>
      <c r="AD227" s="46">
        <f t="shared" si="160"/>
        <v>0</v>
      </c>
      <c r="AE227" s="46">
        <f t="shared" si="150"/>
        <v>0</v>
      </c>
      <c r="AF227" s="103">
        <f>IF(S227&gt;0,(((R227/O227)*S227)*Inputs!$B$12)+((Q227/O227)*S227)*Inputs!$B$23,0)</f>
        <v>0</v>
      </c>
      <c r="AG227" s="103">
        <f>IF(AA227&gt;0,(((W227/T227)*AA227)*Inputs!$B$12)+((V227/T227)*AA227)*Inputs!$B$23,0)</f>
        <v>0</v>
      </c>
      <c r="AH227" s="331">
        <f>IF(AB227&gt;0,((J227*Inputs!$B$18*Inputs!$B$43/$C$78)-O227),0)</f>
        <v>0</v>
      </c>
      <c r="AI227" s="331">
        <f>IFERROR(((R227/O227)*AH227)*((Inputs!$B$12)+(((Q227/O227)*AH227)*Inputs!$B$23)),0)</f>
        <v>0</v>
      </c>
      <c r="AJ227" s="255"/>
      <c r="AK227" s="255"/>
      <c r="AL227" s="255">
        <f>IF(O227&gt;0,((R227/O227)*(O227-O106)*Inputs!$B$12)+((Q227/O227)*(O227-O106)*Inputs!$B$23),0)</f>
        <v>0</v>
      </c>
      <c r="AM227" s="103">
        <f>(K106-K227)*Inputs!$B$12</f>
        <v>2.5133214722562048E-3</v>
      </c>
    </row>
    <row r="228" spans="2:39">
      <c r="S228" s="46"/>
    </row>
    <row r="229" spans="2:39" ht="18">
      <c r="B229" s="144" t="s">
        <v>108</v>
      </c>
      <c r="C229" s="144">
        <f>C108</f>
        <v>91</v>
      </c>
      <c r="D229" s="116"/>
      <c r="E229" s="116"/>
      <c r="F229" s="116"/>
      <c r="G229" s="116"/>
      <c r="H229" s="116"/>
      <c r="S229" s="46"/>
    </row>
    <row r="230" spans="2:39" ht="18">
      <c r="B230" s="49" t="s">
        <v>118</v>
      </c>
      <c r="C230" s="117"/>
      <c r="D230" s="117"/>
      <c r="E230" s="117"/>
      <c r="F230" s="117"/>
      <c r="G230" s="117"/>
      <c r="H230" s="117"/>
      <c r="I230" s="349" t="s">
        <v>70</v>
      </c>
      <c r="J230" s="350"/>
      <c r="K230" s="351" t="s">
        <v>71</v>
      </c>
      <c r="L230" s="351"/>
      <c r="M230" s="351"/>
      <c r="N230" s="351"/>
      <c r="O230" s="351"/>
      <c r="P230" s="351"/>
      <c r="Q230" s="351"/>
      <c r="R230" s="351"/>
      <c r="S230" s="352" t="s">
        <v>72</v>
      </c>
      <c r="T230" s="352"/>
      <c r="U230" s="352"/>
      <c r="V230" s="352"/>
      <c r="W230" s="352"/>
      <c r="X230" s="353" t="s">
        <v>73</v>
      </c>
      <c r="Y230" s="354"/>
      <c r="Z230" s="354"/>
      <c r="AA230" s="355"/>
      <c r="AB230" s="356" t="s">
        <v>105</v>
      </c>
      <c r="AC230" s="357"/>
      <c r="AD230" s="357"/>
      <c r="AE230" s="358"/>
      <c r="AF230" s="348" t="s">
        <v>111</v>
      </c>
      <c r="AG230" s="348"/>
      <c r="AH230" s="348"/>
      <c r="AI230" s="348"/>
      <c r="AJ230" s="348"/>
      <c r="AK230" s="348"/>
      <c r="AL230" s="348"/>
      <c r="AM230" s="348"/>
    </row>
    <row r="231" spans="2:39" ht="28.5">
      <c r="B231" s="38" t="s">
        <v>76</v>
      </c>
      <c r="C231" s="129" t="s">
        <v>23</v>
      </c>
      <c r="D231" s="129" t="s">
        <v>24</v>
      </c>
      <c r="E231" s="129" t="s">
        <v>77</v>
      </c>
      <c r="F231" s="129" t="s">
        <v>78</v>
      </c>
      <c r="G231" s="129" t="s">
        <v>79</v>
      </c>
      <c r="H231" s="129" t="s">
        <v>80</v>
      </c>
      <c r="I231" s="39" t="s">
        <v>81</v>
      </c>
      <c r="J231" s="39" t="s">
        <v>82</v>
      </c>
      <c r="K231" s="39" t="s">
        <v>83</v>
      </c>
      <c r="L231" s="39" t="s">
        <v>112</v>
      </c>
      <c r="M231" s="39" t="s">
        <v>240</v>
      </c>
      <c r="N231" s="39" t="s">
        <v>248</v>
      </c>
      <c r="O231" s="39" t="s">
        <v>85</v>
      </c>
      <c r="P231" s="39" t="s">
        <v>86</v>
      </c>
      <c r="Q231" s="39" t="s">
        <v>87</v>
      </c>
      <c r="R231" s="39" t="s">
        <v>88</v>
      </c>
      <c r="S231" s="39" t="s">
        <v>89</v>
      </c>
      <c r="T231" s="39" t="s">
        <v>85</v>
      </c>
      <c r="U231" s="39" t="s">
        <v>86</v>
      </c>
      <c r="V231" s="39" t="s">
        <v>87</v>
      </c>
      <c r="W231" s="39" t="s">
        <v>88</v>
      </c>
      <c r="X231" s="39" t="s">
        <v>90</v>
      </c>
      <c r="Y231" s="39" t="s">
        <v>91</v>
      </c>
      <c r="Z231" s="39" t="s">
        <v>92</v>
      </c>
      <c r="AA231" s="39" t="s">
        <v>93</v>
      </c>
      <c r="AB231" s="39" t="s">
        <v>85</v>
      </c>
      <c r="AC231" s="39" t="s">
        <v>86</v>
      </c>
      <c r="AD231" s="39" t="s">
        <v>87</v>
      </c>
      <c r="AE231" s="39" t="s">
        <v>88</v>
      </c>
      <c r="AF231" s="39" t="s">
        <v>94</v>
      </c>
      <c r="AG231" s="39" t="s">
        <v>113</v>
      </c>
      <c r="AH231" s="39" t="s">
        <v>242</v>
      </c>
      <c r="AI231" s="39" t="s">
        <v>242</v>
      </c>
      <c r="AJ231" s="39"/>
      <c r="AK231" s="39"/>
      <c r="AL231" s="39" t="s">
        <v>114</v>
      </c>
      <c r="AM231" s="39" t="s">
        <v>115</v>
      </c>
    </row>
    <row r="232" spans="2:39">
      <c r="B232" s="38"/>
      <c r="C232" s="132" t="s">
        <v>98</v>
      </c>
      <c r="D232" s="130" t="s">
        <v>98</v>
      </c>
      <c r="E232" s="131"/>
      <c r="F232" s="131"/>
      <c r="G232" s="131"/>
      <c r="H232" s="131"/>
      <c r="I232" s="39" t="s">
        <v>99</v>
      </c>
      <c r="J232" s="39" t="s">
        <v>99</v>
      </c>
      <c r="K232" s="39" t="s">
        <v>100</v>
      </c>
      <c r="L232" s="39" t="s">
        <v>101</v>
      </c>
      <c r="M232" s="39" t="s">
        <v>101</v>
      </c>
      <c r="N232" s="39" t="s">
        <v>101</v>
      </c>
      <c r="O232" s="39" t="s">
        <v>100</v>
      </c>
      <c r="P232" s="39" t="s">
        <v>100</v>
      </c>
      <c r="Q232" s="39" t="s">
        <v>100</v>
      </c>
      <c r="R232" s="39" t="s">
        <v>100</v>
      </c>
      <c r="S232" s="39" t="s">
        <v>100</v>
      </c>
      <c r="T232" s="39" t="s">
        <v>100</v>
      </c>
      <c r="U232" s="39" t="s">
        <v>100</v>
      </c>
      <c r="V232" s="39" t="s">
        <v>100</v>
      </c>
      <c r="W232" s="39" t="s">
        <v>100</v>
      </c>
      <c r="X232" s="39" t="s">
        <v>102</v>
      </c>
      <c r="Y232" s="39" t="s">
        <v>98</v>
      </c>
      <c r="Z232" s="39" t="s">
        <v>98</v>
      </c>
      <c r="AA232" s="39" t="s">
        <v>100</v>
      </c>
      <c r="AB232" s="39" t="s">
        <v>100</v>
      </c>
      <c r="AC232" s="39" t="s">
        <v>100</v>
      </c>
      <c r="AD232" s="39" t="s">
        <v>100</v>
      </c>
      <c r="AE232" s="39" t="s">
        <v>100</v>
      </c>
      <c r="AF232" s="39" t="s">
        <v>67</v>
      </c>
      <c r="AG232" s="39" t="s">
        <v>67</v>
      </c>
      <c r="AH232" s="39" t="s">
        <v>100</v>
      </c>
      <c r="AI232" s="39" t="s">
        <v>67</v>
      </c>
      <c r="AJ232" s="39"/>
      <c r="AK232" s="39"/>
      <c r="AL232" s="39" t="s">
        <v>67</v>
      </c>
      <c r="AM232" s="39" t="s">
        <v>67</v>
      </c>
    </row>
    <row r="233" spans="2:39">
      <c r="B233" s="41" t="s">
        <v>20</v>
      </c>
      <c r="C233" s="119"/>
      <c r="D233" s="119"/>
      <c r="E233" s="119"/>
      <c r="F233" s="119"/>
      <c r="G233" s="119"/>
      <c r="H233" s="119"/>
      <c r="I233" s="42">
        <f t="shared" ref="I233:J233" si="162">SUM(I234:I257)</f>
        <v>1.0000000000000002</v>
      </c>
      <c r="J233" s="42">
        <f t="shared" si="162"/>
        <v>1</v>
      </c>
      <c r="K233" s="43">
        <f>SUM(K234:K257)</f>
        <v>20.953062489288037</v>
      </c>
      <c r="L233" s="155">
        <f>SUM(L234:L257)/24</f>
        <v>0</v>
      </c>
      <c r="M233" s="340">
        <f>AVERAGE(M234:M257)</f>
        <v>1</v>
      </c>
      <c r="N233" s="340">
        <f>AVERAGE(N234:N257)</f>
        <v>0</v>
      </c>
      <c r="O233" s="43">
        <f>SUM(O234:O257)</f>
        <v>36.902092704124428</v>
      </c>
      <c r="P233" s="43">
        <f>SUM(P234:P257)</f>
        <v>13.18996752691727</v>
      </c>
      <c r="Q233" s="43">
        <f t="shared" ref="Q233" si="163">SUM(Q234:Q257)</f>
        <v>29.138997741753652</v>
      </c>
      <c r="R233" s="43">
        <f t="shared" ref="R233" si="164">SUM(R234:R257)</f>
        <v>7.7630949623707686</v>
      </c>
      <c r="S233" s="43">
        <f t="shared" ref="S233" si="165">SUM(S234:S257)</f>
        <v>0</v>
      </c>
      <c r="T233" s="43">
        <f>SUM(T234:T257)</f>
        <v>36.902092704124428</v>
      </c>
      <c r="U233" s="43">
        <f>SUM(U234:U257)</f>
        <v>13.18996752691727</v>
      </c>
      <c r="V233" s="43">
        <f>SUM(V234:V257)</f>
        <v>29.138997741753652</v>
      </c>
      <c r="W233" s="43">
        <f>SUM(W234:W257)</f>
        <v>7.7630949623707686</v>
      </c>
      <c r="X233" s="43">
        <f>AVERAGEIFS(X234:X257,V234:V257,"&gt;0")</f>
        <v>12.644216649259835</v>
      </c>
      <c r="Y233" s="43">
        <f>AVERAGEIFS(Y234:Y257,V234:V257,"&gt;0")</f>
        <v>4.8048023267187379</v>
      </c>
      <c r="Z233" s="171">
        <f>AVERAGEIFS(Z234:Z257,V234:V257,"&gt;0")</f>
        <v>224.80480232671874</v>
      </c>
      <c r="AA233" s="43">
        <f t="shared" ref="AA233:AE233" si="166">SUM(AA234:AA257)</f>
        <v>0</v>
      </c>
      <c r="AB233" s="43">
        <f t="shared" si="166"/>
        <v>36.902092704124428</v>
      </c>
      <c r="AC233" s="43">
        <f t="shared" si="166"/>
        <v>13.18996752691727</v>
      </c>
      <c r="AD233" s="43">
        <f t="shared" si="166"/>
        <v>29.138997741753652</v>
      </c>
      <c r="AE233" s="43">
        <f t="shared" si="166"/>
        <v>7.7630949623707686</v>
      </c>
      <c r="AF233" s="43">
        <f t="shared" ref="AF233" si="167">SUM(AF234:AF257)</f>
        <v>0</v>
      </c>
      <c r="AG233" s="43">
        <f t="shared" ref="AG233:AI233" si="168">SUM(AG234:AG257)</f>
        <v>0</v>
      </c>
      <c r="AH233" s="43">
        <f t="shared" si="168"/>
        <v>0</v>
      </c>
      <c r="AI233" s="43">
        <f t="shared" si="168"/>
        <v>0</v>
      </c>
      <c r="AJ233" s="43"/>
      <c r="AK233" s="43"/>
      <c r="AL233" s="43">
        <f t="shared" ref="AL233" si="169">SUM(AL234:AL257)</f>
        <v>1.6346813070723938</v>
      </c>
      <c r="AM233" s="43">
        <f t="shared" ref="AM233" si="170">SUM(AM234:AM257)</f>
        <v>0.55403423334010238</v>
      </c>
    </row>
    <row r="234" spans="2:39">
      <c r="B234" s="134">
        <v>0</v>
      </c>
      <c r="C234" s="123">
        <f>Profiles!E32</f>
        <v>255</v>
      </c>
      <c r="D234" s="126">
        <f>IF(C234&lt;Inputs!$B$7,Inputs!$B$6,C234)</f>
        <v>220</v>
      </c>
      <c r="E234" s="127">
        <f>IF(VLOOKUP(K113,Profiles!$B$58:$C$88,2,TRUE)&gt;0,VLOOKUP(K113,Profiles!$B$58:$C$88,2,TRUE),0)</f>
        <v>0.92</v>
      </c>
      <c r="F234" s="127">
        <f>(C234-D234)/C234</f>
        <v>0.13725490196078433</v>
      </c>
      <c r="G234" s="127">
        <f>F234*Inputs!$B$11</f>
        <v>0.12490196078431375</v>
      </c>
      <c r="H234" s="127">
        <f>IFERROR(((G234-1)/E234+1),0)</f>
        <v>4.8806479113384538E-2</v>
      </c>
      <c r="I234" s="45">
        <f>Profiles!I6</f>
        <v>0.01</v>
      </c>
      <c r="J234" s="45">
        <f>Profiles!F32</f>
        <v>0</v>
      </c>
      <c r="K234" s="46">
        <f>IF(AND(H234&gt;0,K113&lt;Inputs!$B$15),K113*(1-H234),K113)</f>
        <v>0.22126224670470196</v>
      </c>
      <c r="L234" s="46">
        <f>IF(D234=C234,1,0)</f>
        <v>0</v>
      </c>
      <c r="M234" s="114">
        <f>IF(Inputs!$B$26="Yes",VLOOKUP(D234,VWR[#All],2,FALSE),1)</f>
        <v>1</v>
      </c>
      <c r="N234" s="114">
        <f>IF(Inputs!$B$27="Yes",VLOOKUP(D234,VVR[#All],2,FALSE),0)</f>
        <v>0</v>
      </c>
      <c r="O234" s="46">
        <f>(J113*Inputs!$B$18*Inputs!$B$44/$C$108)*M234</f>
        <v>0</v>
      </c>
      <c r="P234" s="46">
        <f>IF(O234&gt;K234,0,K234-O234)</f>
        <v>0.22126224670470196</v>
      </c>
      <c r="Q234" s="46">
        <f>IF(O234&gt;K234,MIN((O234-K234),5),0)</f>
        <v>0</v>
      </c>
      <c r="R234" s="46">
        <f>IF(O234&gt;K234,K234,O234)</f>
        <v>0</v>
      </c>
      <c r="S234" s="103">
        <f>IF(D234&gt;255,O234,0)</f>
        <v>0</v>
      </c>
      <c r="T234" s="46">
        <f>O234-S234</f>
        <v>0</v>
      </c>
      <c r="U234" s="46">
        <f t="shared" ref="U234:U257" si="171">IF(T234&gt;K234,0,K234-T234)</f>
        <v>0.22126224670470196</v>
      </c>
      <c r="V234" s="46">
        <f>IF(T234&gt;K234,MIN((T234-K234),5),0)</f>
        <v>0</v>
      </c>
      <c r="W234" s="46">
        <f t="shared" ref="W234:W257" si="172">IF(T234&gt;K234,K234,T234)</f>
        <v>0</v>
      </c>
      <c r="X234" s="103">
        <f t="shared" ref="X234:X257" si="173">V234*1000/C234</f>
        <v>0</v>
      </c>
      <c r="Y234" s="46">
        <f>X234*Inputs!$B$8</f>
        <v>0</v>
      </c>
      <c r="Z234" s="170">
        <f>Y234+D234</f>
        <v>220</v>
      </c>
      <c r="AA234" s="104">
        <f>IF(AND(Z234&gt;=255,C234&lt;=Inputs!$B$7,V234&gt;0),(($AN$22-$AN$21)/($AM$22-$AM$21)*(Z234-$AM$21)+$AN$21)*T234,0)</f>
        <v>0</v>
      </c>
      <c r="AB234" s="104">
        <f t="shared" ref="AB234:AB257" si="174">T234-AA234</f>
        <v>0</v>
      </c>
      <c r="AC234" s="46">
        <f t="shared" ref="AC234:AC257" si="175">IF(AB234&gt;K234,0,K234-AB234)</f>
        <v>0.22126224670470196</v>
      </c>
      <c r="AD234" s="46">
        <f>IF(AB234&gt;K234,MIN((AB234-K234),5),0)</f>
        <v>0</v>
      </c>
      <c r="AE234" s="46">
        <f t="shared" ref="AE234:AE257" si="176">IF(AB234&gt;K234,K234,AB234)</f>
        <v>0</v>
      </c>
      <c r="AF234" s="103">
        <f>IF(S234&gt;0,(((R234/O234)*S234)*Inputs!$B$12)+((Q234/O234)*S234)*Inputs!$B$23,0)</f>
        <v>0</v>
      </c>
      <c r="AG234" s="103">
        <f>IF(AA234&gt;0,(((W234/T234)*AA234)*Inputs!$B$12)+((V234/T234)*AA234)*Inputs!$B$23,0)</f>
        <v>0</v>
      </c>
      <c r="AH234" s="331">
        <f>IF(AB234&gt;0,((J234*Inputs!$B$18*Inputs!$B$44/$C$108)-O234),0)</f>
        <v>0</v>
      </c>
      <c r="AI234" s="331">
        <f>IFERROR(((R234/O234)*AH234)*((Inputs!$B$12)+(((Q234/O234)*AH234)*Inputs!$B$23)),0)</f>
        <v>0</v>
      </c>
      <c r="AJ234" s="255"/>
      <c r="AK234" s="255"/>
      <c r="AL234" s="255">
        <f>IF(O234&gt;0,((R234/O234)*(O234-O113)*Inputs!$B$12)+((Q234/O234)*(O234-O113)*Inputs!$B$23),0)</f>
        <v>0</v>
      </c>
      <c r="AM234" s="103">
        <f>(K113-K234)*Inputs!$B$12</f>
        <v>2.7247530985638436E-3</v>
      </c>
    </row>
    <row r="235" spans="2:39">
      <c r="B235" s="134">
        <v>4.1666666666666664E-2</v>
      </c>
      <c r="C235" s="124">
        <f>Profiles!E33</f>
        <v>255</v>
      </c>
      <c r="D235" s="126">
        <f>IF(C235&lt;Inputs!$B$7,Inputs!$B$6,C235)</f>
        <v>220</v>
      </c>
      <c r="E235" s="127">
        <f>IF(VLOOKUP(K114,Profiles!$B$58:$C$88,2,TRUE)&gt;0,VLOOKUP(K114,Profiles!$B$58:$C$88,2,TRUE),0)</f>
        <v>0.92</v>
      </c>
      <c r="F235" s="127">
        <f t="shared" ref="F235:F257" si="177">(C235-D235)/C235</f>
        <v>0.13725490196078433</v>
      </c>
      <c r="G235" s="127">
        <f>F235*Inputs!$B$11</f>
        <v>0.12490196078431375</v>
      </c>
      <c r="H235" s="127">
        <f>IFERROR(((G235-1)/E235+1),0)</f>
        <v>4.8806479113384538E-2</v>
      </c>
      <c r="I235" s="45">
        <f>Profiles!I7</f>
        <v>0.01</v>
      </c>
      <c r="J235" s="45">
        <f>Profiles!F33</f>
        <v>0</v>
      </c>
      <c r="K235" s="46">
        <f>IF(AND(H235&gt;0,K114&lt;Inputs!$B$15),K114*(1-H235),K114)</f>
        <v>0.22126224670470196</v>
      </c>
      <c r="L235" s="46">
        <f t="shared" ref="L235:L257" si="178">IF(D235=C235,1,0)</f>
        <v>0</v>
      </c>
      <c r="M235" s="114">
        <f>IF(Inputs!$B$26="Yes",VLOOKUP(D235,VWR[#All],2,FALSE),1)</f>
        <v>1</v>
      </c>
      <c r="N235" s="114">
        <f>IF(Inputs!$B$27="Yes",VLOOKUP(D235,VVR[#All],2,FALSE),0)</f>
        <v>0</v>
      </c>
      <c r="O235" s="46">
        <f>(J114*Inputs!$B$18*Inputs!$B$44/$C$108)*M235</f>
        <v>0</v>
      </c>
      <c r="P235" s="46">
        <f t="shared" ref="P235:P257" si="179">IF(O235&gt;K235,0,K235-O235)</f>
        <v>0.22126224670470196</v>
      </c>
      <c r="Q235" s="46">
        <f t="shared" ref="Q235:Q257" si="180">IF(O235&gt;K235,MIN((O235-K235),5),0)</f>
        <v>0</v>
      </c>
      <c r="R235" s="46">
        <f t="shared" ref="R235:R257" si="181">IF(O235&gt;K235,K235,O235)</f>
        <v>0</v>
      </c>
      <c r="S235" s="103">
        <f t="shared" ref="S235:S257" si="182">IF(D235&gt;255,O235,0)</f>
        <v>0</v>
      </c>
      <c r="T235" s="46">
        <f t="shared" ref="T235:T257" si="183">O235-S235</f>
        <v>0</v>
      </c>
      <c r="U235" s="46">
        <f t="shared" si="171"/>
        <v>0.22126224670470196</v>
      </c>
      <c r="V235" s="46">
        <f t="shared" ref="V235:V257" si="184">IF(T235&gt;K235,MIN((T235-K235),5),0)</f>
        <v>0</v>
      </c>
      <c r="W235" s="46">
        <f t="shared" si="172"/>
        <v>0</v>
      </c>
      <c r="X235" s="103">
        <f t="shared" si="173"/>
        <v>0</v>
      </c>
      <c r="Y235" s="46">
        <f>X235*Inputs!$B$8</f>
        <v>0</v>
      </c>
      <c r="Z235" s="170">
        <f t="shared" ref="Z235:Z257" si="185">Y235+D235</f>
        <v>220</v>
      </c>
      <c r="AA235" s="104">
        <f>IF(AND(Z235&gt;=255,C235&lt;=Inputs!$B$7,V235&gt;0),(($AN$22-$AN$21)/($AM$22-$AM$21)*(Z235-$AM$21)+$AN$21)*O235,0)</f>
        <v>0</v>
      </c>
      <c r="AB235" s="104">
        <f t="shared" si="174"/>
        <v>0</v>
      </c>
      <c r="AC235" s="46">
        <f t="shared" si="175"/>
        <v>0.22126224670470196</v>
      </c>
      <c r="AD235" s="46">
        <f t="shared" ref="AD235:AD257" si="186">IF(AB235&gt;K235,MIN((AB235-K235),5),0)</f>
        <v>0</v>
      </c>
      <c r="AE235" s="46">
        <f t="shared" si="176"/>
        <v>0</v>
      </c>
      <c r="AF235" s="103">
        <f>IF(S235&gt;0,(((R235/O235)*S235)*Inputs!$B$12)+((Q235/O235)*S235)*Inputs!$B$23,0)</f>
        <v>0</v>
      </c>
      <c r="AG235" s="103">
        <f>IF(AA235&gt;0,(((W235/T235)*AA235)*Inputs!$B$12)+((V235/T235)*AA235)*Inputs!$B$23,0)</f>
        <v>0</v>
      </c>
      <c r="AH235" s="331">
        <f>IF(AB235&gt;0,((J235*Inputs!$B$18*Inputs!$B$44/$C$108)-O235),0)</f>
        <v>0</v>
      </c>
      <c r="AI235" s="331">
        <f>IFERROR(((R235/O235)*AH235)*((Inputs!$B$12)+(((Q235/O235)*AH235)*Inputs!$B$23)),0)</f>
        <v>0</v>
      </c>
      <c r="AJ235" s="255"/>
      <c r="AK235" s="255"/>
      <c r="AL235" s="255">
        <f>IF(O235&gt;0,((R235/O235)*(O235-O114)*Inputs!$B$12)+((Q235/O235)*(O235-O114)*Inputs!$B$23),0)</f>
        <v>0</v>
      </c>
      <c r="AM235" s="103">
        <f>(K114-K235)*Inputs!$B$12</f>
        <v>2.7247530985638436E-3</v>
      </c>
    </row>
    <row r="236" spans="2:39">
      <c r="B236" s="134">
        <v>8.3333333333333329E-2</v>
      </c>
      <c r="C236" s="125">
        <f>Profiles!E34</f>
        <v>255</v>
      </c>
      <c r="D236" s="126">
        <f>IF(C236&lt;Inputs!$B$7,Inputs!$B$6,C236)</f>
        <v>220</v>
      </c>
      <c r="E236" s="127">
        <f>IF(VLOOKUP(K115,Profiles!$B$58:$C$88,2,TRUE)&gt;0,VLOOKUP(K115,Profiles!$B$58:$C$88,2,TRUE),0)</f>
        <v>0.92</v>
      </c>
      <c r="F236" s="127">
        <f t="shared" si="177"/>
        <v>0.13725490196078433</v>
      </c>
      <c r="G236" s="127">
        <f>F236*Inputs!$B$11</f>
        <v>0.12490196078431375</v>
      </c>
      <c r="H236" s="127">
        <f t="shared" ref="H236:H257" si="187">IFERROR(((G236-1)/E236+1),0)</f>
        <v>4.8806479113384538E-2</v>
      </c>
      <c r="I236" s="45">
        <f>Profiles!I8</f>
        <v>0.01</v>
      </c>
      <c r="J236" s="45">
        <f>Profiles!F34</f>
        <v>0</v>
      </c>
      <c r="K236" s="46">
        <f>IF(AND(H236&gt;0,K115&lt;Inputs!$B$15),K115*(1-H236),K115)</f>
        <v>0.22126224670470196</v>
      </c>
      <c r="L236" s="46">
        <f t="shared" si="178"/>
        <v>0</v>
      </c>
      <c r="M236" s="114">
        <f>IF(Inputs!$B$26="Yes",VLOOKUP(D236,VWR[#All],2,FALSE),1)</f>
        <v>1</v>
      </c>
      <c r="N236" s="114">
        <f>IF(Inputs!$B$27="Yes",VLOOKUP(D236,VVR[#All],2,FALSE),0)</f>
        <v>0</v>
      </c>
      <c r="O236" s="46">
        <f>(J115*Inputs!$B$18*Inputs!$B$44/$C$108)*M236</f>
        <v>0</v>
      </c>
      <c r="P236" s="46">
        <f t="shared" si="179"/>
        <v>0.22126224670470196</v>
      </c>
      <c r="Q236" s="46">
        <f t="shared" si="180"/>
        <v>0</v>
      </c>
      <c r="R236" s="46">
        <f t="shared" si="181"/>
        <v>0</v>
      </c>
      <c r="S236" s="103">
        <f t="shared" si="182"/>
        <v>0</v>
      </c>
      <c r="T236" s="46">
        <f t="shared" si="183"/>
        <v>0</v>
      </c>
      <c r="U236" s="46">
        <f t="shared" si="171"/>
        <v>0.22126224670470196</v>
      </c>
      <c r="V236" s="46">
        <f t="shared" si="184"/>
        <v>0</v>
      </c>
      <c r="W236" s="46">
        <f t="shared" si="172"/>
        <v>0</v>
      </c>
      <c r="X236" s="103">
        <f t="shared" si="173"/>
        <v>0</v>
      </c>
      <c r="Y236" s="46">
        <f>X236*Inputs!$B$8</f>
        <v>0</v>
      </c>
      <c r="Z236" s="170">
        <f t="shared" si="185"/>
        <v>220</v>
      </c>
      <c r="AA236" s="104">
        <f>IF(AND(Z236&gt;=255,C236&lt;=Inputs!$B$7,V236&gt;0),(($AN$22-$AN$21)/($AM$22-$AM$21)*(Z236-$AM$21)+$AN$21)*O236,0)</f>
        <v>0</v>
      </c>
      <c r="AB236" s="104">
        <f t="shared" si="174"/>
        <v>0</v>
      </c>
      <c r="AC236" s="46">
        <f t="shared" si="175"/>
        <v>0.22126224670470196</v>
      </c>
      <c r="AD236" s="46">
        <f t="shared" si="186"/>
        <v>0</v>
      </c>
      <c r="AE236" s="46">
        <f t="shared" si="176"/>
        <v>0</v>
      </c>
      <c r="AF236" s="103">
        <f>IF(S236&gt;0,(((R236/O236)*S236)*Inputs!$B$12)+((Q236/O236)*S236)*Inputs!$B$23,0)</f>
        <v>0</v>
      </c>
      <c r="AG236" s="103">
        <f>IF(AA236&gt;0,(((W236/T236)*AA236)*Inputs!$B$12)+((V236/T236)*AA236)*Inputs!$B$23,0)</f>
        <v>0</v>
      </c>
      <c r="AH236" s="331">
        <f>IF(AB236&gt;0,((J236*Inputs!$B$18*Inputs!$B$44/$C$108)-O236),0)</f>
        <v>0</v>
      </c>
      <c r="AI236" s="331">
        <f>IFERROR(((R236/O236)*AH236)*((Inputs!$B$12)+(((Q236/O236)*AH236)*Inputs!$B$23)),0)</f>
        <v>0</v>
      </c>
      <c r="AJ236" s="255"/>
      <c r="AK236" s="255"/>
      <c r="AL236" s="255">
        <f>IF(O236&gt;0,((R236/O236)*(O236-O115)*Inputs!$B$12)+((Q236/O236)*(O236-O115)*Inputs!$B$23),0)</f>
        <v>0</v>
      </c>
      <c r="AM236" s="103">
        <f>(K115-K236)*Inputs!$B$12</f>
        <v>2.7247530985638436E-3</v>
      </c>
    </row>
    <row r="237" spans="2:39">
      <c r="B237" s="134">
        <v>0.125</v>
      </c>
      <c r="C237" s="125">
        <f>Profiles!E35</f>
        <v>255</v>
      </c>
      <c r="D237" s="126">
        <f>IF(C237&lt;Inputs!$B$7,Inputs!$B$6,C237)</f>
        <v>220</v>
      </c>
      <c r="E237" s="127">
        <f>IF(VLOOKUP(K116,Profiles!$B$58:$C$88,2,TRUE)&gt;0,VLOOKUP(K116,Profiles!$B$58:$C$88,2,TRUE),0)</f>
        <v>0.92</v>
      </c>
      <c r="F237" s="127">
        <f t="shared" si="177"/>
        <v>0.13725490196078433</v>
      </c>
      <c r="G237" s="127">
        <f>F237*Inputs!$B$11</f>
        <v>0.12490196078431375</v>
      </c>
      <c r="H237" s="127">
        <f t="shared" si="187"/>
        <v>4.8806479113384538E-2</v>
      </c>
      <c r="I237" s="45">
        <f>Profiles!I9</f>
        <v>0.01</v>
      </c>
      <c r="J237" s="45">
        <f>Profiles!F35</f>
        <v>0</v>
      </c>
      <c r="K237" s="46">
        <f>IF(AND(H237&gt;0,K116&lt;Inputs!$B$15),K116*(1-H237),K116)</f>
        <v>0.22126224670470196</v>
      </c>
      <c r="L237" s="46">
        <f t="shared" si="178"/>
        <v>0</v>
      </c>
      <c r="M237" s="114">
        <f>IF(Inputs!$B$26="Yes",VLOOKUP(D237,VWR[#All],2,FALSE),1)</f>
        <v>1</v>
      </c>
      <c r="N237" s="114">
        <f>IF(Inputs!$B$27="Yes",VLOOKUP(D237,VVR[#All],2,FALSE),0)</f>
        <v>0</v>
      </c>
      <c r="O237" s="46">
        <f>(J116*Inputs!$B$18*Inputs!$B$44/$C$108)*M237</f>
        <v>0</v>
      </c>
      <c r="P237" s="46">
        <f t="shared" si="179"/>
        <v>0.22126224670470196</v>
      </c>
      <c r="Q237" s="46">
        <f t="shared" si="180"/>
        <v>0</v>
      </c>
      <c r="R237" s="46">
        <f t="shared" si="181"/>
        <v>0</v>
      </c>
      <c r="S237" s="103">
        <f t="shared" si="182"/>
        <v>0</v>
      </c>
      <c r="T237" s="46">
        <f t="shared" si="183"/>
        <v>0</v>
      </c>
      <c r="U237" s="46">
        <f t="shared" si="171"/>
        <v>0.22126224670470196</v>
      </c>
      <c r="V237" s="46">
        <f t="shared" si="184"/>
        <v>0</v>
      </c>
      <c r="W237" s="46">
        <f t="shared" si="172"/>
        <v>0</v>
      </c>
      <c r="X237" s="103">
        <f t="shared" si="173"/>
        <v>0</v>
      </c>
      <c r="Y237" s="46">
        <f>X237*Inputs!$B$8</f>
        <v>0</v>
      </c>
      <c r="Z237" s="170">
        <f t="shared" si="185"/>
        <v>220</v>
      </c>
      <c r="AA237" s="104">
        <f>IF(AND(Z237&gt;=255,C237&lt;=Inputs!$B$7,V237&gt;0),(($AN$22-$AN$21)/($AM$22-$AM$21)*(Z237-$AM$21)+$AN$21)*O237,0)</f>
        <v>0</v>
      </c>
      <c r="AB237" s="104">
        <f t="shared" si="174"/>
        <v>0</v>
      </c>
      <c r="AC237" s="46">
        <f t="shared" si="175"/>
        <v>0.22126224670470196</v>
      </c>
      <c r="AD237" s="46">
        <f t="shared" si="186"/>
        <v>0</v>
      </c>
      <c r="AE237" s="46">
        <f t="shared" si="176"/>
        <v>0</v>
      </c>
      <c r="AF237" s="103">
        <f>IF(S237&gt;0,(((R237/O237)*S237)*Inputs!$B$12)+((Q237/O237)*S237)*Inputs!$B$23,0)</f>
        <v>0</v>
      </c>
      <c r="AG237" s="103">
        <f>IF(AA237&gt;0,(((W237/T237)*AA237)*Inputs!$B$12)+((V237/T237)*AA237)*Inputs!$B$23,0)</f>
        <v>0</v>
      </c>
      <c r="AH237" s="331">
        <f>IF(AB237&gt;0,((J237*Inputs!$B$18*Inputs!$B$44/$C$108)-O237),0)</f>
        <v>0</v>
      </c>
      <c r="AI237" s="331">
        <f>IFERROR(((R237/O237)*AH237)*((Inputs!$B$12)+(((Q237/O237)*AH237)*Inputs!$B$23)),0)</f>
        <v>0</v>
      </c>
      <c r="AJ237" s="255"/>
      <c r="AK237" s="255"/>
      <c r="AL237" s="255">
        <f>IF(O237&gt;0,((R237/O237)*(O237-O116)*Inputs!$B$12)+((Q237/O237)*(O237-O116)*Inputs!$B$23),0)</f>
        <v>0</v>
      </c>
      <c r="AM237" s="103">
        <f>(K116-K237)*Inputs!$B$12</f>
        <v>2.7247530985638436E-3</v>
      </c>
    </row>
    <row r="238" spans="2:39">
      <c r="B238" s="134">
        <v>0.16666666666666699</v>
      </c>
      <c r="C238" s="125">
        <f>Profiles!E36</f>
        <v>255</v>
      </c>
      <c r="D238" s="126">
        <f>IF(C238&lt;Inputs!$B$7,Inputs!$B$6,C238)</f>
        <v>220</v>
      </c>
      <c r="E238" s="127">
        <f>IF(VLOOKUP(K117,Profiles!$B$58:$C$88,2,TRUE)&gt;0,VLOOKUP(K117,Profiles!$B$58:$C$88,2,TRUE),0)</f>
        <v>0.92</v>
      </c>
      <c r="F238" s="127">
        <f t="shared" si="177"/>
        <v>0.13725490196078433</v>
      </c>
      <c r="G238" s="127">
        <f>F238*Inputs!$B$11</f>
        <v>0.12490196078431375</v>
      </c>
      <c r="H238" s="127">
        <f t="shared" si="187"/>
        <v>4.8806479113384538E-2</v>
      </c>
      <c r="I238" s="45">
        <f>Profiles!I10</f>
        <v>0.01</v>
      </c>
      <c r="J238" s="45">
        <f>Profiles!F36</f>
        <v>0</v>
      </c>
      <c r="K238" s="46">
        <f>IF(AND(H238&gt;0,K117&lt;Inputs!$B$15),K117*(1-H238),K117)</f>
        <v>0.22126224670470196</v>
      </c>
      <c r="L238" s="46">
        <f t="shared" si="178"/>
        <v>0</v>
      </c>
      <c r="M238" s="114">
        <f>IF(Inputs!$B$26="Yes",VLOOKUP(D238,VWR[#All],2,FALSE),1)</f>
        <v>1</v>
      </c>
      <c r="N238" s="114">
        <f>IF(Inputs!$B$27="Yes",VLOOKUP(D238,VVR[#All],2,FALSE),0)</f>
        <v>0</v>
      </c>
      <c r="O238" s="46">
        <f>(J117*Inputs!$B$18*Inputs!$B$44/$C$108)*M238</f>
        <v>0</v>
      </c>
      <c r="P238" s="46">
        <f t="shared" si="179"/>
        <v>0.22126224670470196</v>
      </c>
      <c r="Q238" s="46">
        <f t="shared" si="180"/>
        <v>0</v>
      </c>
      <c r="R238" s="46">
        <f t="shared" si="181"/>
        <v>0</v>
      </c>
      <c r="S238" s="103">
        <f t="shared" si="182"/>
        <v>0</v>
      </c>
      <c r="T238" s="46">
        <f t="shared" si="183"/>
        <v>0</v>
      </c>
      <c r="U238" s="46">
        <f t="shared" si="171"/>
        <v>0.22126224670470196</v>
      </c>
      <c r="V238" s="46">
        <f t="shared" si="184"/>
        <v>0</v>
      </c>
      <c r="W238" s="46">
        <f t="shared" si="172"/>
        <v>0</v>
      </c>
      <c r="X238" s="103">
        <f t="shared" si="173"/>
        <v>0</v>
      </c>
      <c r="Y238" s="46">
        <f>X238*Inputs!$B$8</f>
        <v>0</v>
      </c>
      <c r="Z238" s="170">
        <f t="shared" si="185"/>
        <v>220</v>
      </c>
      <c r="AA238" s="104">
        <f>IF(AND(Z238&gt;=255,C238&lt;=Inputs!$B$7,V238&gt;0),(($AN$22-$AN$21)/($AM$22-$AM$21)*(Z238-$AM$21)+$AN$21)*O238,0)</f>
        <v>0</v>
      </c>
      <c r="AB238" s="104">
        <f t="shared" si="174"/>
        <v>0</v>
      </c>
      <c r="AC238" s="46">
        <f t="shared" si="175"/>
        <v>0.22126224670470196</v>
      </c>
      <c r="AD238" s="46">
        <f t="shared" si="186"/>
        <v>0</v>
      </c>
      <c r="AE238" s="46">
        <f t="shared" si="176"/>
        <v>0</v>
      </c>
      <c r="AF238" s="103">
        <f>IF(S238&gt;0,(((R238/O238)*S238)*Inputs!$B$12)+((Q238/O238)*S238)*Inputs!$B$23,0)</f>
        <v>0</v>
      </c>
      <c r="AG238" s="103">
        <f>IF(AA238&gt;0,(((W238/T238)*AA238)*Inputs!$B$12)+((V238/T238)*AA238)*Inputs!$B$23,0)</f>
        <v>0</v>
      </c>
      <c r="AH238" s="331">
        <f>IF(AB238&gt;0,((J238*Inputs!$B$18*Inputs!$B$44/$C$108)-O238),0)</f>
        <v>0</v>
      </c>
      <c r="AI238" s="331">
        <f>IFERROR(((R238/O238)*AH238)*((Inputs!$B$12)+(((Q238/O238)*AH238)*Inputs!$B$23)),0)</f>
        <v>0</v>
      </c>
      <c r="AJ238" s="255"/>
      <c r="AK238" s="255"/>
      <c r="AL238" s="255">
        <f>IF(O238&gt;0,((R238/O238)*(O238-O117)*Inputs!$B$12)+((Q238/O238)*(O238-O117)*Inputs!$B$23),0)</f>
        <v>0</v>
      </c>
      <c r="AM238" s="103">
        <f>(K117-K238)*Inputs!$B$12</f>
        <v>2.7247530985638436E-3</v>
      </c>
    </row>
    <row r="239" spans="2:39">
      <c r="B239" s="134">
        <v>0.20833333333333301</v>
      </c>
      <c r="C239" s="125">
        <f>Profiles!E37</f>
        <v>253</v>
      </c>
      <c r="D239" s="126">
        <f>IF(C239&lt;Inputs!$B$7,Inputs!$B$6,C239)</f>
        <v>220</v>
      </c>
      <c r="E239" s="127">
        <f>IF(VLOOKUP(K118,Profiles!$B$58:$C$88,2,TRUE)&gt;0,VLOOKUP(K118,Profiles!$B$58:$C$88,2,TRUE),0)</f>
        <v>0.92</v>
      </c>
      <c r="F239" s="127">
        <f t="shared" si="177"/>
        <v>0.13043478260869565</v>
      </c>
      <c r="G239" s="127">
        <f>F239*Inputs!$B$11</f>
        <v>0.11869565217391305</v>
      </c>
      <c r="H239" s="127">
        <f t="shared" si="187"/>
        <v>4.2060491493383867E-2</v>
      </c>
      <c r="I239" s="45">
        <f>Profiles!I11</f>
        <v>0.01</v>
      </c>
      <c r="J239" s="45">
        <f>Profiles!F37</f>
        <v>0</v>
      </c>
      <c r="K239" s="46">
        <f>IF(AND(H239&gt;0,K118&lt;Inputs!$B$15),K118*(1-H239),K118)</f>
        <v>0.22283146720953903</v>
      </c>
      <c r="L239" s="46">
        <f t="shared" si="178"/>
        <v>0</v>
      </c>
      <c r="M239" s="114">
        <f>IF(Inputs!$B$26="Yes",VLOOKUP(D239,VWR[#All],2,FALSE),1)</f>
        <v>1</v>
      </c>
      <c r="N239" s="114">
        <f>IF(Inputs!$B$27="Yes",VLOOKUP(D239,VVR[#All],2,FALSE),0)</f>
        <v>0</v>
      </c>
      <c r="O239" s="46">
        <f>(J118*Inputs!$B$18*Inputs!$B$44/$C$108)*M239</f>
        <v>0</v>
      </c>
      <c r="P239" s="46">
        <f t="shared" si="179"/>
        <v>0.22283146720953903</v>
      </c>
      <c r="Q239" s="46">
        <f t="shared" si="180"/>
        <v>0</v>
      </c>
      <c r="R239" s="46">
        <f t="shared" si="181"/>
        <v>0</v>
      </c>
      <c r="S239" s="103">
        <f t="shared" si="182"/>
        <v>0</v>
      </c>
      <c r="T239" s="46">
        <f t="shared" si="183"/>
        <v>0</v>
      </c>
      <c r="U239" s="46">
        <f t="shared" si="171"/>
        <v>0.22283146720953903</v>
      </c>
      <c r="V239" s="46">
        <f t="shared" si="184"/>
        <v>0</v>
      </c>
      <c r="W239" s="46">
        <f t="shared" si="172"/>
        <v>0</v>
      </c>
      <c r="X239" s="103">
        <f t="shared" si="173"/>
        <v>0</v>
      </c>
      <c r="Y239" s="46">
        <f>X239*Inputs!$B$8</f>
        <v>0</v>
      </c>
      <c r="Z239" s="170">
        <f t="shared" si="185"/>
        <v>220</v>
      </c>
      <c r="AA239" s="104">
        <f>IF(AND(Z239&gt;=255,C239&lt;=Inputs!$B$7,V239&gt;0),(($AN$22-$AN$21)/($AM$22-$AM$21)*(Z239-$AM$21)+$AN$21)*O239,0)</f>
        <v>0</v>
      </c>
      <c r="AB239" s="104">
        <f t="shared" si="174"/>
        <v>0</v>
      </c>
      <c r="AC239" s="46">
        <f t="shared" si="175"/>
        <v>0.22283146720953903</v>
      </c>
      <c r="AD239" s="46">
        <f t="shared" si="186"/>
        <v>0</v>
      </c>
      <c r="AE239" s="46">
        <f t="shared" si="176"/>
        <v>0</v>
      </c>
      <c r="AF239" s="103">
        <f>IF(S239&gt;0,(((R239/O239)*S239)*Inputs!$B$12)+((Q239/O239)*S239)*Inputs!$B$23,0)</f>
        <v>0</v>
      </c>
      <c r="AG239" s="103">
        <f>IF(AA239&gt;0,(((W239/T239)*AA239)*Inputs!$B$12)+((V239/T239)*AA239)*Inputs!$B$23,0)</f>
        <v>0</v>
      </c>
      <c r="AH239" s="331">
        <f>IF(AB239&gt;0,((J239*Inputs!$B$18*Inputs!$B$44/$C$108)-O239),0)</f>
        <v>0</v>
      </c>
      <c r="AI239" s="331">
        <f>IFERROR(((R239/O239)*AH239)*((Inputs!$B$12)+(((Q239/O239)*AH239)*Inputs!$B$23)),0)</f>
        <v>0</v>
      </c>
      <c r="AJ239" s="255"/>
      <c r="AK239" s="255"/>
      <c r="AL239" s="255">
        <f>IF(O239&gt;0,((R239/O239)*(O239-O118)*Inputs!$B$12)+((Q239/O239)*(O239-O118)*Inputs!$B$23),0)</f>
        <v>0</v>
      </c>
      <c r="AM239" s="103">
        <f>(K118-K239)*Inputs!$B$12</f>
        <v>2.3481401774029464E-3</v>
      </c>
    </row>
    <row r="240" spans="2:39">
      <c r="B240" s="134">
        <v>0.25</v>
      </c>
      <c r="C240" s="125">
        <f>Profiles!E38</f>
        <v>254</v>
      </c>
      <c r="D240" s="126">
        <f>IF(C240&lt;Inputs!$B$7,Inputs!$B$6,C240)</f>
        <v>220</v>
      </c>
      <c r="E240" s="127">
        <f>IF(VLOOKUP(K119,Profiles!$B$58:$C$88,2,TRUE)&gt;0,VLOOKUP(K119,Profiles!$B$58:$C$88,2,TRUE),0)</f>
        <v>0.98</v>
      </c>
      <c r="F240" s="127">
        <f t="shared" si="177"/>
        <v>0.13385826771653545</v>
      </c>
      <c r="G240" s="127">
        <f>F240*Inputs!$B$11</f>
        <v>0.12181102362204727</v>
      </c>
      <c r="H240" s="127">
        <f t="shared" si="187"/>
        <v>0.10388879961433395</v>
      </c>
      <c r="I240" s="45">
        <f>Profiles!I12</f>
        <v>0.1</v>
      </c>
      <c r="J240" s="45">
        <f>Profiles!F38</f>
        <v>0</v>
      </c>
      <c r="K240" s="46">
        <f>IF(AND(H240&gt;0,K119&lt;Inputs!$B$15),K119*(1-H240),K119)</f>
        <v>2.0844925153586575</v>
      </c>
      <c r="L240" s="46">
        <f t="shared" si="178"/>
        <v>0</v>
      </c>
      <c r="M240" s="114">
        <f>IF(Inputs!$B$26="Yes",VLOOKUP(D240,VWR[#All],2,FALSE),1)</f>
        <v>1</v>
      </c>
      <c r="N240" s="114">
        <f>IF(Inputs!$B$27="Yes",VLOOKUP(D240,VVR[#All],2,FALSE),0)</f>
        <v>0</v>
      </c>
      <c r="O240" s="46">
        <f>(J119*Inputs!$B$18*Inputs!$B$44/$C$108)*M240</f>
        <v>0</v>
      </c>
      <c r="P240" s="46">
        <f t="shared" si="179"/>
        <v>2.0844925153586575</v>
      </c>
      <c r="Q240" s="46">
        <f t="shared" si="180"/>
        <v>0</v>
      </c>
      <c r="R240" s="46">
        <f t="shared" si="181"/>
        <v>0</v>
      </c>
      <c r="S240" s="103">
        <f t="shared" si="182"/>
        <v>0</v>
      </c>
      <c r="T240" s="46">
        <f t="shared" si="183"/>
        <v>0</v>
      </c>
      <c r="U240" s="46">
        <f t="shared" si="171"/>
        <v>2.0844925153586575</v>
      </c>
      <c r="V240" s="46">
        <f t="shared" si="184"/>
        <v>0</v>
      </c>
      <c r="W240" s="46">
        <f t="shared" si="172"/>
        <v>0</v>
      </c>
      <c r="X240" s="103">
        <f t="shared" si="173"/>
        <v>0</v>
      </c>
      <c r="Y240" s="46">
        <f>X240*Inputs!$B$8</f>
        <v>0</v>
      </c>
      <c r="Z240" s="170">
        <f t="shared" si="185"/>
        <v>220</v>
      </c>
      <c r="AA240" s="104">
        <f>IF(AND(Z240&gt;=255,C240&lt;=Inputs!$B$7,V240&gt;0),(($AN$22-$AN$21)/($AM$22-$AM$21)*(Z240-$AM$21)+$AN$21)*O240,0)</f>
        <v>0</v>
      </c>
      <c r="AB240" s="104">
        <f t="shared" si="174"/>
        <v>0</v>
      </c>
      <c r="AC240" s="46">
        <f t="shared" si="175"/>
        <v>2.0844925153586575</v>
      </c>
      <c r="AD240" s="46">
        <f t="shared" si="186"/>
        <v>0</v>
      </c>
      <c r="AE240" s="46">
        <f t="shared" si="176"/>
        <v>0</v>
      </c>
      <c r="AF240" s="103">
        <f>IF(S240&gt;0,(((R240/O240)*S240)*Inputs!$B$12)+((Q240/O240)*S240)*Inputs!$B$23,0)</f>
        <v>0</v>
      </c>
      <c r="AG240" s="103">
        <f>IF(AA240&gt;0,(((W240/T240)*AA240)*Inputs!$B$12)+((V240/T240)*AA240)*Inputs!$B$23,0)</f>
        <v>0</v>
      </c>
      <c r="AH240" s="331">
        <f>IF(AB240&gt;0,((J240*Inputs!$B$18*Inputs!$B$44/$C$108)-O240),0)</f>
        <v>0</v>
      </c>
      <c r="AI240" s="331">
        <f>IFERROR(((R240/O240)*AH240)*((Inputs!$B$12)+(((Q240/O240)*AH240)*Inputs!$B$23)),0)</f>
        <v>0</v>
      </c>
      <c r="AJ240" s="255"/>
      <c r="AK240" s="255"/>
      <c r="AL240" s="255">
        <f>IF(O240&gt;0,((R240/O240)*(O240-O119)*Inputs!$B$12)+((Q240/O240)*(O240-O119)*Inputs!$B$23),0)</f>
        <v>0</v>
      </c>
      <c r="AM240" s="103">
        <f>(K119-K240)*Inputs!$B$12</f>
        <v>5.7998719390845395E-2</v>
      </c>
    </row>
    <row r="241" spans="2:39">
      <c r="B241" s="134">
        <v>0.29166666666666702</v>
      </c>
      <c r="C241" s="125">
        <f>Profiles!E39</f>
        <v>255</v>
      </c>
      <c r="D241" s="126">
        <f>IF(C241&lt;Inputs!$B$7,Inputs!$B$6,C241)</f>
        <v>220</v>
      </c>
      <c r="E241" s="127">
        <f>IF(VLOOKUP(K120,Profiles!$B$58:$C$88,2,TRUE)&gt;0,VLOOKUP(K120,Profiles!$B$58:$C$88,2,TRUE),0)</f>
        <v>0.98</v>
      </c>
      <c r="F241" s="127">
        <f t="shared" si="177"/>
        <v>0.13725490196078433</v>
      </c>
      <c r="G241" s="127">
        <f>F241*Inputs!$B$11</f>
        <v>0.12490196078431375</v>
      </c>
      <c r="H241" s="127">
        <f>IFERROR(((G241-1)/E241+1),0)</f>
        <v>0.10704281712685071</v>
      </c>
      <c r="I241" s="45">
        <f>Profiles!I13</f>
        <v>0.12</v>
      </c>
      <c r="J241" s="45">
        <f>Profiles!F39</f>
        <v>0.02</v>
      </c>
      <c r="K241" s="46">
        <f>IF(AND(H241&gt;0,K120&lt;Inputs!$B$15),K120*(1-H241),K120)</f>
        <v>2.4925869424692957</v>
      </c>
      <c r="L241" s="46">
        <f t="shared" si="178"/>
        <v>0</v>
      </c>
      <c r="M241" s="114">
        <f>IF(Inputs!$B$26="Yes",VLOOKUP(D241,VWR[#All],2,FALSE),1)</f>
        <v>1</v>
      </c>
      <c r="N241" s="114">
        <f>IF(Inputs!$B$27="Yes",VLOOKUP(D241,VVR[#All],2,FALSE),0)</f>
        <v>0</v>
      </c>
      <c r="O241" s="46">
        <f>(J120*Inputs!$B$18*Inputs!$B$44/$C$108)*M241</f>
        <v>0.73804185408248846</v>
      </c>
      <c r="P241" s="46">
        <f t="shared" si="179"/>
        <v>1.7545450883868072</v>
      </c>
      <c r="Q241" s="46">
        <f t="shared" si="180"/>
        <v>0</v>
      </c>
      <c r="R241" s="46">
        <f t="shared" si="181"/>
        <v>0.73804185408248846</v>
      </c>
      <c r="S241" s="103">
        <f t="shared" si="182"/>
        <v>0</v>
      </c>
      <c r="T241" s="46">
        <f t="shared" si="183"/>
        <v>0.73804185408248846</v>
      </c>
      <c r="U241" s="46">
        <f t="shared" si="171"/>
        <v>1.7545450883868072</v>
      </c>
      <c r="V241" s="46">
        <f t="shared" si="184"/>
        <v>0</v>
      </c>
      <c r="W241" s="46">
        <f t="shared" si="172"/>
        <v>0.73804185408248846</v>
      </c>
      <c r="X241" s="103">
        <f t="shared" si="173"/>
        <v>0</v>
      </c>
      <c r="Y241" s="46">
        <f>X241*Inputs!$B$8</f>
        <v>0</v>
      </c>
      <c r="Z241" s="170">
        <f t="shared" si="185"/>
        <v>220</v>
      </c>
      <c r="AA241" s="104">
        <f>IF(AND(Z241&gt;=255,C241&lt;=Inputs!$B$7,V241&gt;0),(($AN$22-$AN$21)/($AM$22-$AM$21)*(Z241-$AM$21)+$AN$21)*O241,0)</f>
        <v>0</v>
      </c>
      <c r="AB241" s="104">
        <f t="shared" si="174"/>
        <v>0.73804185408248846</v>
      </c>
      <c r="AC241" s="46">
        <f t="shared" si="175"/>
        <v>1.7545450883868072</v>
      </c>
      <c r="AD241" s="46">
        <f t="shared" si="186"/>
        <v>0</v>
      </c>
      <c r="AE241" s="46">
        <f t="shared" si="176"/>
        <v>0.73804185408248846</v>
      </c>
      <c r="AF241" s="103">
        <f>IF(S241&gt;0,(((R241/O241)*S241)*Inputs!$B$12)+((Q241/O241)*S241)*Inputs!$B$23,0)</f>
        <v>0</v>
      </c>
      <c r="AG241" s="103">
        <f>IF(AA241&gt;0,(((W241/T241)*AA241)*Inputs!$B$12)+((V241/T241)*AA241)*Inputs!$B$23,0)</f>
        <v>0</v>
      </c>
      <c r="AH241" s="331">
        <f>IF(AB241&gt;0,((J241*Inputs!$B$18*Inputs!$B$44/$C$108)-O241),0)</f>
        <v>0</v>
      </c>
      <c r="AI241" s="331">
        <f>IFERROR(((R241/O241)*AH241)*((Inputs!$B$12)+(((Q241/O241)*AH241)*Inputs!$B$23)),0)</f>
        <v>0</v>
      </c>
      <c r="AJ241" s="255"/>
      <c r="AK241" s="255"/>
      <c r="AL241" s="255">
        <f>IF(O241&gt;0,((R241/O241)*(O241-O120)*Inputs!$B$12)+((Q241/O241)*(O241-O120)*Inputs!$B$23),0)</f>
        <v>4.7234678661279263E-2</v>
      </c>
      <c r="AM241" s="103">
        <f>(K120-K241)*Inputs!$B$12</f>
        <v>7.1711441499676773E-2</v>
      </c>
    </row>
    <row r="242" spans="2:39">
      <c r="B242" s="134">
        <v>0.33333333333333298</v>
      </c>
      <c r="C242" s="125">
        <f>Profiles!E40</f>
        <v>255</v>
      </c>
      <c r="D242" s="126">
        <f>IF(C242&lt;Inputs!$B$7,Inputs!$B$6,C242)</f>
        <v>220</v>
      </c>
      <c r="E242" s="127">
        <f>IF(VLOOKUP(K121,Profiles!$B$58:$C$88,2,TRUE)&gt;0,VLOOKUP(K121,Profiles!$B$58:$C$88,2,TRUE),0)</f>
        <v>0.97</v>
      </c>
      <c r="F242" s="127">
        <f t="shared" si="177"/>
        <v>0.13725490196078433</v>
      </c>
      <c r="G242" s="127">
        <f>F242*Inputs!$B$11</f>
        <v>0.12490196078431375</v>
      </c>
      <c r="H242" s="127">
        <f t="shared" si="187"/>
        <v>9.783707297351929E-2</v>
      </c>
      <c r="I242" s="45">
        <f>Profiles!I14</f>
        <v>0.03</v>
      </c>
      <c r="J242" s="45">
        <f>Profiles!F40</f>
        <v>4.4999999999999998E-2</v>
      </c>
      <c r="K242" s="46">
        <f>IF(AND(H242&gt;0,K121&lt;Inputs!$B$15),K121*(1-H242),K121)</f>
        <v>0.62957092876801801</v>
      </c>
      <c r="L242" s="46">
        <f t="shared" si="178"/>
        <v>0</v>
      </c>
      <c r="M242" s="114">
        <f>IF(Inputs!$B$26="Yes",VLOOKUP(D242,VWR[#All],2,FALSE),1)</f>
        <v>1</v>
      </c>
      <c r="N242" s="114">
        <f>IF(Inputs!$B$27="Yes",VLOOKUP(D242,VVR[#All],2,FALSE),0)</f>
        <v>0</v>
      </c>
      <c r="O242" s="46">
        <f>(J121*Inputs!$B$18*Inputs!$B$44/$C$108)*M242</f>
        <v>1.660594171685599</v>
      </c>
      <c r="P242" s="46">
        <f t="shared" si="179"/>
        <v>0</v>
      </c>
      <c r="Q242" s="46">
        <f t="shared" si="180"/>
        <v>1.031023242917581</v>
      </c>
      <c r="R242" s="46">
        <f t="shared" si="181"/>
        <v>0.62957092876801801</v>
      </c>
      <c r="S242" s="103">
        <f t="shared" si="182"/>
        <v>0</v>
      </c>
      <c r="T242" s="46">
        <f t="shared" si="183"/>
        <v>1.660594171685599</v>
      </c>
      <c r="U242" s="46">
        <f t="shared" si="171"/>
        <v>0</v>
      </c>
      <c r="V242" s="46">
        <f t="shared" si="184"/>
        <v>1.031023242917581</v>
      </c>
      <c r="W242" s="46">
        <f t="shared" si="172"/>
        <v>0.62957092876801801</v>
      </c>
      <c r="X242" s="103">
        <f t="shared" si="173"/>
        <v>4.0432284035983566</v>
      </c>
      <c r="Y242" s="46">
        <f>X242*Inputs!$B$8</f>
        <v>1.5364267933673754</v>
      </c>
      <c r="Z242" s="170">
        <f t="shared" si="185"/>
        <v>221.53642679336738</v>
      </c>
      <c r="AA242" s="104">
        <f>IF(AND(Z242&gt;=255,C242&lt;=Inputs!$B$7,V242&gt;0),(($AN$22-$AN$21)/($AM$22-$AM$21)*(Z242-$AM$21)+$AN$21)*O242,0)</f>
        <v>0</v>
      </c>
      <c r="AB242" s="104">
        <f t="shared" si="174"/>
        <v>1.660594171685599</v>
      </c>
      <c r="AC242" s="46">
        <f t="shared" si="175"/>
        <v>0</v>
      </c>
      <c r="AD242" s="46">
        <f>IF(AB242&gt;K242,MIN((AB242-K242),5),0)</f>
        <v>1.031023242917581</v>
      </c>
      <c r="AE242" s="46">
        <f t="shared" si="176"/>
        <v>0.62957092876801801</v>
      </c>
      <c r="AF242" s="103">
        <f>IF(S242&gt;0,(((R242/O242)*S242)*Inputs!$B$12)+((Q242/O242)*S242)*Inputs!$B$23,0)</f>
        <v>0</v>
      </c>
      <c r="AG242" s="103">
        <f>IF(AA242&gt;0,(((W242/T242)*AA242)*Inputs!$B$12)+((V242/T242)*AA242)*Inputs!$B$23,0)</f>
        <v>0</v>
      </c>
      <c r="AH242" s="331">
        <f>IF(AB242&gt;0,((J242*Inputs!$B$18*Inputs!$B$44/$C$108)-O242),0)</f>
        <v>0</v>
      </c>
      <c r="AI242" s="331">
        <f>IFERROR(((R242/O242)*AH242)*((Inputs!$B$12)+(((Q242/O242)*AH242)*Inputs!$B$23)),0)</f>
        <v>0</v>
      </c>
      <c r="AJ242" s="255"/>
      <c r="AK242" s="255"/>
      <c r="AL242" s="255">
        <f>IF(O242&gt;0,((R242/O242)*(O242-O121)*Inputs!$B$12)+((Q242/O242)*(O242-O121)*Inputs!$B$23),0)</f>
        <v>7.3285283214515703E-2</v>
      </c>
      <c r="AM242" s="103">
        <f>(K121-K242)*Inputs!$B$12</f>
        <v>1.6386054018752611E-2</v>
      </c>
    </row>
    <row r="243" spans="2:39">
      <c r="B243" s="134">
        <v>0.375</v>
      </c>
      <c r="C243" s="125">
        <f>Profiles!E41</f>
        <v>253</v>
      </c>
      <c r="D243" s="126">
        <f>IF(C243&lt;Inputs!$B$7,Inputs!$B$6,C243)</f>
        <v>220</v>
      </c>
      <c r="E243" s="127">
        <f>IF(VLOOKUP(K122,Profiles!$B$58:$C$88,2,TRUE)&gt;0,VLOOKUP(K122,Profiles!$B$58:$C$88,2,TRUE),0)</f>
        <v>0.96</v>
      </c>
      <c r="F243" s="127">
        <f t="shared" si="177"/>
        <v>0.13043478260869565</v>
      </c>
      <c r="G243" s="127">
        <f>F243*Inputs!$B$11</f>
        <v>0.11869565217391305</v>
      </c>
      <c r="H243" s="127">
        <f t="shared" si="187"/>
        <v>8.1974637681159424E-2</v>
      </c>
      <c r="I243" s="45">
        <f>Profiles!I15</f>
        <v>0.02</v>
      </c>
      <c r="J243" s="45">
        <f>Profiles!F41</f>
        <v>0.08</v>
      </c>
      <c r="K243" s="46">
        <f>IF(AND(H243&gt;0,K122&lt;Inputs!$B$15),K122*(1-H243),K122)</f>
        <v>0.42709364548494988</v>
      </c>
      <c r="L243" s="46">
        <f t="shared" si="178"/>
        <v>0</v>
      </c>
      <c r="M243" s="114">
        <f>IF(Inputs!$B$26="Yes",VLOOKUP(D243,VWR[#All],2,FALSE),1)</f>
        <v>1</v>
      </c>
      <c r="N243" s="114">
        <f>IF(Inputs!$B$27="Yes",VLOOKUP(D243,VVR[#All],2,FALSE),0)</f>
        <v>0</v>
      </c>
      <c r="O243" s="46">
        <f>(J122*Inputs!$B$18*Inputs!$B$44/$C$108)*M243</f>
        <v>2.9521674163299538</v>
      </c>
      <c r="P243" s="46">
        <f t="shared" si="179"/>
        <v>0</v>
      </c>
      <c r="Q243" s="46">
        <f t="shared" si="180"/>
        <v>2.5250737708450037</v>
      </c>
      <c r="R243" s="46">
        <f t="shared" si="181"/>
        <v>0.42709364548494988</v>
      </c>
      <c r="S243" s="103">
        <f t="shared" si="182"/>
        <v>0</v>
      </c>
      <c r="T243" s="46">
        <f t="shared" si="183"/>
        <v>2.9521674163299538</v>
      </c>
      <c r="U243" s="46">
        <f t="shared" si="171"/>
        <v>0</v>
      </c>
      <c r="V243" s="46">
        <f t="shared" si="184"/>
        <v>2.5250737708450037</v>
      </c>
      <c r="W243" s="46">
        <f t="shared" si="172"/>
        <v>0.42709364548494988</v>
      </c>
      <c r="X243" s="103">
        <f t="shared" si="173"/>
        <v>9.9805287385178012</v>
      </c>
      <c r="Y243" s="46">
        <f>X243*Inputs!$B$8</f>
        <v>3.7926009206367644</v>
      </c>
      <c r="Z243" s="170">
        <f t="shared" si="185"/>
        <v>223.79260092063677</v>
      </c>
      <c r="AA243" s="104">
        <f>IF(AND(Z243&gt;=255,C243&lt;=Inputs!$B$7,V243&gt;0),(($AN$22-$AN$21)/($AM$22-$AM$21)*(Z243-$AM$21)+$AN$21)*O243,0)</f>
        <v>0</v>
      </c>
      <c r="AB243" s="104">
        <f t="shared" si="174"/>
        <v>2.9521674163299538</v>
      </c>
      <c r="AC243" s="46">
        <f t="shared" si="175"/>
        <v>0</v>
      </c>
      <c r="AD243" s="46">
        <f t="shared" si="186"/>
        <v>2.5250737708450037</v>
      </c>
      <c r="AE243" s="46">
        <f t="shared" si="176"/>
        <v>0.42709364548494988</v>
      </c>
      <c r="AF243" s="103">
        <f>IF(S243&gt;0,(((R243/O243)*S243)*Inputs!$B$12)+((Q243/O243)*S243)*Inputs!$B$23,0)</f>
        <v>0</v>
      </c>
      <c r="AG243" s="103">
        <f>IF(AA243&gt;0,(((W243/T243)*AA243)*Inputs!$B$12)+((V243/T243)*AA243)*Inputs!$B$23,0)</f>
        <v>0</v>
      </c>
      <c r="AH243" s="331">
        <f>IF(AB243&gt;0,((J243*Inputs!$B$18*Inputs!$B$44/$C$108)-O243),0)</f>
        <v>0</v>
      </c>
      <c r="AI243" s="331">
        <f>IFERROR(((R243/O243)*AH243)*((Inputs!$B$12)+(((Q243/O243)*AH243)*Inputs!$B$23)),0)</f>
        <v>0</v>
      </c>
      <c r="AJ243" s="255"/>
      <c r="AK243" s="255"/>
      <c r="AL243" s="255">
        <f>IF(O243&gt;0,((R243/O243)*(O243-O122)*Inputs!$B$12)+((Q243/O243)*(O243-O122)*Inputs!$B$23),0)</f>
        <v>6.4881812386846149E-2</v>
      </c>
      <c r="AM243" s="103">
        <f>(K122-K243)*Inputs!$B$12</f>
        <v>9.1529096989966564E-3</v>
      </c>
    </row>
    <row r="244" spans="2:39">
      <c r="B244" s="134">
        <v>0.41666666666666702</v>
      </c>
      <c r="C244" s="125">
        <f>Profiles!E42</f>
        <v>256</v>
      </c>
      <c r="D244" s="126">
        <f>IF(C244&lt;Inputs!$B$7,Inputs!$B$6,C244)</f>
        <v>220</v>
      </c>
      <c r="E244" s="127">
        <f>IF(VLOOKUP(K123,Profiles!$B$58:$C$88,2,TRUE)&gt;0,VLOOKUP(K123,Profiles!$B$58:$C$88,2,TRUE),0)</f>
        <v>0.96</v>
      </c>
      <c r="F244" s="127">
        <f t="shared" si="177"/>
        <v>0.140625</v>
      </c>
      <c r="G244" s="127">
        <f>F244*Inputs!$B$11</f>
        <v>0.12796874999999999</v>
      </c>
      <c r="H244" s="127">
        <f t="shared" si="187"/>
        <v>9.1634114583333259E-2</v>
      </c>
      <c r="I244" s="45">
        <f>Profiles!I16</f>
        <v>0.02</v>
      </c>
      <c r="J244" s="45">
        <f>Profiles!F42</f>
        <v>0.11</v>
      </c>
      <c r="K244" s="46">
        <f>IF(AND(H244&gt;0,K123&lt;Inputs!$B$15),K123*(1-H244),K123)</f>
        <v>0.42259975961538471</v>
      </c>
      <c r="L244" s="46">
        <f t="shared" si="178"/>
        <v>0</v>
      </c>
      <c r="M244" s="114">
        <f>IF(Inputs!$B$26="Yes",VLOOKUP(D244,VWR[#All],2,FALSE),1)</f>
        <v>1</v>
      </c>
      <c r="N244" s="114">
        <f>IF(Inputs!$B$27="Yes",VLOOKUP(D244,VVR[#All],2,FALSE),0)</f>
        <v>0</v>
      </c>
      <c r="O244" s="46">
        <f>(J123*Inputs!$B$18*Inputs!$B$44/$C$108)*M244</f>
        <v>4.0592301974536866</v>
      </c>
      <c r="P244" s="46">
        <f t="shared" si="179"/>
        <v>0</v>
      </c>
      <c r="Q244" s="46">
        <f t="shared" si="180"/>
        <v>3.6366304378383019</v>
      </c>
      <c r="R244" s="46">
        <f t="shared" si="181"/>
        <v>0.42259975961538471</v>
      </c>
      <c r="S244" s="103">
        <f t="shared" si="182"/>
        <v>0</v>
      </c>
      <c r="T244" s="46">
        <f t="shared" si="183"/>
        <v>4.0592301974536866</v>
      </c>
      <c r="U244" s="46">
        <f t="shared" si="171"/>
        <v>0</v>
      </c>
      <c r="V244" s="46">
        <f t="shared" si="184"/>
        <v>3.6366304378383019</v>
      </c>
      <c r="W244" s="46">
        <f t="shared" si="172"/>
        <v>0.42259975961538471</v>
      </c>
      <c r="X244" s="103">
        <f t="shared" si="173"/>
        <v>14.205587647805867</v>
      </c>
      <c r="Y244" s="46">
        <f>X244*Inputs!$B$8</f>
        <v>5.3981233061662293</v>
      </c>
      <c r="Z244" s="170">
        <f t="shared" si="185"/>
        <v>225.39812330616624</v>
      </c>
      <c r="AA244" s="104">
        <f>IF(AND(Z244&gt;=255,C244&lt;=Inputs!$B$7,V244&gt;0),(($AN$22-$AN$21)/($AM$22-$AM$21)*(Z244-$AM$21)+$AN$21)*O244,0)</f>
        <v>0</v>
      </c>
      <c r="AB244" s="104">
        <f t="shared" si="174"/>
        <v>4.0592301974536866</v>
      </c>
      <c r="AC244" s="46">
        <f t="shared" si="175"/>
        <v>0</v>
      </c>
      <c r="AD244" s="46">
        <f>IF(AB244&gt;K244,MIN((AB244-K244),5),0)</f>
        <v>3.6366304378383019</v>
      </c>
      <c r="AE244" s="46">
        <f t="shared" si="176"/>
        <v>0.42259975961538471</v>
      </c>
      <c r="AF244" s="103">
        <f>IF(S244&gt;0,(((R244/O244)*S244)*Inputs!$B$12)+((Q244/O244)*S244)*Inputs!$B$23,0)</f>
        <v>0</v>
      </c>
      <c r="AG244" s="103">
        <f>IF(AA244&gt;0,(((W244/T244)*AA244)*Inputs!$B$12)+((V244/T244)*AA244)*Inputs!$B$23,0)</f>
        <v>0</v>
      </c>
      <c r="AH244" s="331">
        <f>IF(AB244&gt;0,((J244*Inputs!$B$18*Inputs!$B$44/$C$108)-O244),0)</f>
        <v>0</v>
      </c>
      <c r="AI244" s="331">
        <f>IFERROR(((R244/O244)*AH244)*((Inputs!$B$12)+(((Q244/O244)*AH244)*Inputs!$B$23)),0)</f>
        <v>0</v>
      </c>
      <c r="AJ244" s="255"/>
      <c r="AK244" s="255"/>
      <c r="AL244" s="255">
        <f>IF(O244&gt;0,((R244/O244)*(O244-O123)*Inputs!$B$12)+((Q244/O244)*(O244-O123)*Inputs!$B$23),0)</f>
        <v>0.17210227035145237</v>
      </c>
      <c r="AM244" s="103">
        <f>(K123-K244)*Inputs!$B$12</f>
        <v>1.0231442307692297E-2</v>
      </c>
    </row>
    <row r="245" spans="2:39">
      <c r="B245" s="134">
        <v>0.45833333333333298</v>
      </c>
      <c r="C245" s="125">
        <f>Profiles!E43</f>
        <v>257</v>
      </c>
      <c r="D245" s="126">
        <f>IF(C245&lt;Inputs!$B$7,Inputs!$B$6,C245)</f>
        <v>220</v>
      </c>
      <c r="E245" s="127">
        <f>IF(VLOOKUP(K124,Profiles!$B$58:$C$88,2,TRUE)&gt;0,VLOOKUP(K124,Profiles!$B$58:$C$88,2,TRUE),0)</f>
        <v>0.96</v>
      </c>
      <c r="F245" s="127">
        <f t="shared" si="177"/>
        <v>0.14396887159533073</v>
      </c>
      <c r="G245" s="127">
        <f>F245*Inputs!$B$11</f>
        <v>0.13101167315175097</v>
      </c>
      <c r="H245" s="127">
        <f t="shared" si="187"/>
        <v>9.4803826199740593E-2</v>
      </c>
      <c r="I245" s="45">
        <f>Profiles!I17</f>
        <v>0.02</v>
      </c>
      <c r="J245" s="45">
        <f>Profiles!F43</f>
        <v>0.12</v>
      </c>
      <c r="K245" s="46">
        <f>IF(AND(H245&gt;0,K124&lt;Inputs!$B$15),K124*(1-H245),K124)</f>
        <v>0.42112511224184379</v>
      </c>
      <c r="L245" s="46">
        <f t="shared" si="178"/>
        <v>0</v>
      </c>
      <c r="M245" s="114">
        <f>IF(Inputs!$B$26="Yes",VLOOKUP(D245,VWR[#All],2,FALSE),1)</f>
        <v>1</v>
      </c>
      <c r="N245" s="114">
        <f>IF(Inputs!$B$27="Yes",VLOOKUP(D245,VVR[#All],2,FALSE),0)</f>
        <v>0</v>
      </c>
      <c r="O245" s="46">
        <f>(J124*Inputs!$B$18*Inputs!$B$44/$C$108)*M245</f>
        <v>4.4282511244949303</v>
      </c>
      <c r="P245" s="46">
        <f t="shared" si="179"/>
        <v>0</v>
      </c>
      <c r="Q245" s="46">
        <f t="shared" si="180"/>
        <v>4.007126012253087</v>
      </c>
      <c r="R245" s="46">
        <f t="shared" si="181"/>
        <v>0.42112511224184379</v>
      </c>
      <c r="S245" s="103">
        <f t="shared" si="182"/>
        <v>0</v>
      </c>
      <c r="T245" s="46">
        <f t="shared" si="183"/>
        <v>4.4282511244949303</v>
      </c>
      <c r="U245" s="46">
        <f t="shared" si="171"/>
        <v>0</v>
      </c>
      <c r="V245" s="46">
        <f t="shared" si="184"/>
        <v>4.007126012253087</v>
      </c>
      <c r="W245" s="46">
        <f t="shared" si="172"/>
        <v>0.42112511224184379</v>
      </c>
      <c r="X245" s="103">
        <f t="shared" si="173"/>
        <v>15.591930008766877</v>
      </c>
      <c r="Y245" s="46">
        <f>X245*Inputs!$B$8</f>
        <v>5.9249334033314129</v>
      </c>
      <c r="Z245" s="170">
        <f t="shared" si="185"/>
        <v>225.92493340333141</v>
      </c>
      <c r="AA245" s="104">
        <f>IF(AND(Z245&gt;=255,C245&lt;=Inputs!$B$7,V245&gt;0),(($AN$22-$AN$21)/($AM$22-$AM$21)*(Z245-$AM$21)+$AN$21)*O245,0)</f>
        <v>0</v>
      </c>
      <c r="AB245" s="104">
        <f t="shared" si="174"/>
        <v>4.4282511244949303</v>
      </c>
      <c r="AC245" s="46">
        <f t="shared" si="175"/>
        <v>0</v>
      </c>
      <c r="AD245" s="46">
        <f t="shared" si="186"/>
        <v>4.007126012253087</v>
      </c>
      <c r="AE245" s="46">
        <f t="shared" si="176"/>
        <v>0.42112511224184379</v>
      </c>
      <c r="AF245" s="103">
        <f>IF(S245&gt;0,(((R245/O245)*S245)*Inputs!$B$12)+((Q245/O245)*S245)*Inputs!$B$23,0)</f>
        <v>0</v>
      </c>
      <c r="AG245" s="103">
        <f>IF(AA245&gt;0,(((W245/T245)*AA245)*Inputs!$B$12)+((V245/T245)*AA245)*Inputs!$B$23,0)</f>
        <v>0</v>
      </c>
      <c r="AH245" s="331">
        <f>IF(AB245&gt;0,((J245*Inputs!$B$18*Inputs!$B$44/$C$108)-O245),0)</f>
        <v>0</v>
      </c>
      <c r="AI245" s="331">
        <f>IFERROR(((R245/O245)*AH245)*((Inputs!$B$12)+(((Q245/O245)*AH245)*Inputs!$B$23)),0)</f>
        <v>0</v>
      </c>
      <c r="AJ245" s="255"/>
      <c r="AK245" s="255"/>
      <c r="AL245" s="255">
        <f>IF(O245&gt;0,((R245/O245)*(O245-O124)*Inputs!$B$12)+((Q245/O245)*(O245-O124)*Inputs!$B$23),0)</f>
        <v>0.21725205540580744</v>
      </c>
      <c r="AM245" s="103">
        <f>(K124-K245)*Inputs!$B$12</f>
        <v>1.0585357677342117E-2</v>
      </c>
    </row>
    <row r="246" spans="2:39">
      <c r="B246" s="134">
        <v>0.5</v>
      </c>
      <c r="C246" s="125">
        <f>Profiles!E44</f>
        <v>257</v>
      </c>
      <c r="D246" s="126">
        <f>IF(C246&lt;Inputs!$B$7,Inputs!$B$6,C246)</f>
        <v>220</v>
      </c>
      <c r="E246" s="127">
        <f>IF(VLOOKUP(K125,Profiles!$B$58:$C$88,2,TRUE)&gt;0,VLOOKUP(K125,Profiles!$B$58:$C$88,2,TRUE),0)</f>
        <v>0.96</v>
      </c>
      <c r="F246" s="127">
        <f t="shared" si="177"/>
        <v>0.14396887159533073</v>
      </c>
      <c r="G246" s="127">
        <f>F246*Inputs!$B$11</f>
        <v>0.13101167315175097</v>
      </c>
      <c r="H246" s="127">
        <f t="shared" si="187"/>
        <v>9.4803826199740593E-2</v>
      </c>
      <c r="I246" s="45">
        <f>Profiles!I18</f>
        <v>0.02</v>
      </c>
      <c r="J246" s="45">
        <f>Profiles!F44</f>
        <v>0.125</v>
      </c>
      <c r="K246" s="46">
        <f>IF(AND(H246&gt;0,K125&lt;Inputs!$B$15),K125*(1-H246),K125)</f>
        <v>0.42112511224184379</v>
      </c>
      <c r="L246" s="46">
        <f t="shared" si="178"/>
        <v>0</v>
      </c>
      <c r="M246" s="114">
        <f>IF(Inputs!$B$26="Yes",VLOOKUP(D246,VWR[#All],2,FALSE),1)</f>
        <v>1</v>
      </c>
      <c r="N246" s="114">
        <f>IF(Inputs!$B$27="Yes",VLOOKUP(D246,VVR[#All],2,FALSE),0)</f>
        <v>0</v>
      </c>
      <c r="O246" s="46">
        <f>(J125*Inputs!$B$18*Inputs!$B$44/$C$108)*M246</f>
        <v>4.6127615880155526</v>
      </c>
      <c r="P246" s="46">
        <f t="shared" si="179"/>
        <v>0</v>
      </c>
      <c r="Q246" s="46">
        <f t="shared" si="180"/>
        <v>4.1916364757737092</v>
      </c>
      <c r="R246" s="46">
        <f t="shared" si="181"/>
        <v>0.42112511224184379</v>
      </c>
      <c r="S246" s="103">
        <f t="shared" si="182"/>
        <v>0</v>
      </c>
      <c r="T246" s="46">
        <f t="shared" si="183"/>
        <v>4.6127615880155526</v>
      </c>
      <c r="U246" s="46">
        <f t="shared" si="171"/>
        <v>0</v>
      </c>
      <c r="V246" s="46">
        <f t="shared" si="184"/>
        <v>4.1916364757737092</v>
      </c>
      <c r="W246" s="46">
        <f t="shared" si="172"/>
        <v>0.42112511224184379</v>
      </c>
      <c r="X246" s="103">
        <f t="shared" si="173"/>
        <v>16.309869555539724</v>
      </c>
      <c r="Y246" s="46">
        <f>X246*Inputs!$B$8</f>
        <v>6.1977504311050948</v>
      </c>
      <c r="Z246" s="170">
        <f t="shared" si="185"/>
        <v>226.19775043110511</v>
      </c>
      <c r="AA246" s="104">
        <f>IF(AND(Z246&gt;=255,C246&lt;=Inputs!$B$7,V246&gt;0),(($AN$22-$AN$21)/($AM$22-$AM$21)*(Z246-$AM$21)+$AN$21)*O246,0)</f>
        <v>0</v>
      </c>
      <c r="AB246" s="104">
        <f t="shared" si="174"/>
        <v>4.6127615880155526</v>
      </c>
      <c r="AC246" s="46">
        <f t="shared" si="175"/>
        <v>0</v>
      </c>
      <c r="AD246" s="46">
        <f t="shared" si="186"/>
        <v>4.1916364757737092</v>
      </c>
      <c r="AE246" s="46">
        <f t="shared" si="176"/>
        <v>0.42112511224184379</v>
      </c>
      <c r="AF246" s="103">
        <f>IF(S246&gt;0,(((R246/O246)*S246)*Inputs!$B$12)+((Q246/O246)*S246)*Inputs!$B$23,0)</f>
        <v>0</v>
      </c>
      <c r="AG246" s="103">
        <f>IF(AA246&gt;0,(((W246/T246)*AA246)*Inputs!$B$12)+((V246/T246)*AA246)*Inputs!$B$23,0)</f>
        <v>0</v>
      </c>
      <c r="AH246" s="331">
        <f>IF(AB246&gt;0,((J246*Inputs!$B$18*Inputs!$B$44/$C$108)-O246),0)</f>
        <v>0</v>
      </c>
      <c r="AI246" s="331">
        <f>IFERROR(((R246/O246)*AH246)*((Inputs!$B$12)+(((Q246/O246)*AH246)*Inputs!$B$23)),0)</f>
        <v>0</v>
      </c>
      <c r="AJ246" s="255"/>
      <c r="AK246" s="255"/>
      <c r="AL246" s="255">
        <f>IF(O246&gt;0,((R246/O246)*(O246-O125)*Inputs!$B$12)+((Q246/O246)*(O246-O125)*Inputs!$B$23),0)</f>
        <v>0.22551812417153136</v>
      </c>
      <c r="AM246" s="103">
        <f>(K125-K246)*Inputs!$B$12</f>
        <v>1.0585357677342117E-2</v>
      </c>
    </row>
    <row r="247" spans="2:39">
      <c r="B247" s="134">
        <v>0.54166666666666696</v>
      </c>
      <c r="C247" s="125">
        <f>Profiles!E45</f>
        <v>257</v>
      </c>
      <c r="D247" s="126">
        <f>IF(C247&lt;Inputs!$B$7,Inputs!$B$6,C247)</f>
        <v>220</v>
      </c>
      <c r="E247" s="127">
        <f>IF(VLOOKUP(K126,Profiles!$B$58:$C$88,2,TRUE)&gt;0,VLOOKUP(K126,Profiles!$B$58:$C$88,2,TRUE),0)</f>
        <v>0.96</v>
      </c>
      <c r="F247" s="127">
        <f t="shared" si="177"/>
        <v>0.14396887159533073</v>
      </c>
      <c r="G247" s="127">
        <f>F247*Inputs!$B$11</f>
        <v>0.13101167315175097</v>
      </c>
      <c r="H247" s="127">
        <f t="shared" si="187"/>
        <v>9.4803826199740593E-2</v>
      </c>
      <c r="I247" s="45">
        <f>Profiles!I19</f>
        <v>0.02</v>
      </c>
      <c r="J247" s="45">
        <f>Profiles!F45</f>
        <v>0.125</v>
      </c>
      <c r="K247" s="46">
        <f>IF(AND(H247&gt;0,K126&lt;Inputs!$B$15),K126*(1-H247),K126)</f>
        <v>0.42112511224184379</v>
      </c>
      <c r="L247" s="46">
        <f t="shared" si="178"/>
        <v>0</v>
      </c>
      <c r="M247" s="114">
        <f>IF(Inputs!$B$26="Yes",VLOOKUP(D247,VWR[#All],2,FALSE),1)</f>
        <v>1</v>
      </c>
      <c r="N247" s="114">
        <f>IF(Inputs!$B$27="Yes",VLOOKUP(D247,VVR[#All],2,FALSE),0)</f>
        <v>0</v>
      </c>
      <c r="O247" s="46">
        <f>(J126*Inputs!$B$18*Inputs!$B$44/$C$108)*M247</f>
        <v>4.6127615880155526</v>
      </c>
      <c r="P247" s="46">
        <f t="shared" si="179"/>
        <v>0</v>
      </c>
      <c r="Q247" s="46">
        <f t="shared" si="180"/>
        <v>4.1916364757737092</v>
      </c>
      <c r="R247" s="46">
        <f t="shared" si="181"/>
        <v>0.42112511224184379</v>
      </c>
      <c r="S247" s="103">
        <f t="shared" si="182"/>
        <v>0</v>
      </c>
      <c r="T247" s="46">
        <f t="shared" si="183"/>
        <v>4.6127615880155526</v>
      </c>
      <c r="U247" s="46">
        <f t="shared" si="171"/>
        <v>0</v>
      </c>
      <c r="V247" s="46">
        <f t="shared" si="184"/>
        <v>4.1916364757737092</v>
      </c>
      <c r="W247" s="46">
        <f t="shared" si="172"/>
        <v>0.42112511224184379</v>
      </c>
      <c r="X247" s="103">
        <f t="shared" si="173"/>
        <v>16.309869555539724</v>
      </c>
      <c r="Y247" s="46">
        <f>X247*Inputs!$B$8</f>
        <v>6.1977504311050948</v>
      </c>
      <c r="Z247" s="170">
        <f t="shared" si="185"/>
        <v>226.19775043110511</v>
      </c>
      <c r="AA247" s="104">
        <f>IF(AND(Z247&gt;=255,C247&lt;=Inputs!$B$7,V247&gt;0),(($AN$22-$AN$21)/($AM$22-$AM$21)*(Z247-$AM$21)+$AN$21)*O247,0)</f>
        <v>0</v>
      </c>
      <c r="AB247" s="104">
        <f t="shared" si="174"/>
        <v>4.6127615880155526</v>
      </c>
      <c r="AC247" s="46">
        <f t="shared" si="175"/>
        <v>0</v>
      </c>
      <c r="AD247" s="46">
        <f t="shared" si="186"/>
        <v>4.1916364757737092</v>
      </c>
      <c r="AE247" s="46">
        <f t="shared" si="176"/>
        <v>0.42112511224184379</v>
      </c>
      <c r="AF247" s="103">
        <f>IF(S247&gt;0,(((R247/O247)*S247)*Inputs!$B$12)+((Q247/O247)*S247)*Inputs!$B$23,0)</f>
        <v>0</v>
      </c>
      <c r="AG247" s="103">
        <f>IF(AA247&gt;0,(((W247/T247)*AA247)*Inputs!$B$12)+((V247/T247)*AA247)*Inputs!$B$23,0)</f>
        <v>0</v>
      </c>
      <c r="AH247" s="331">
        <f>IF(AB247&gt;0,((J247*Inputs!$B$18*Inputs!$B$44/$C$108)-O247),0)</f>
        <v>0</v>
      </c>
      <c r="AI247" s="331">
        <f>IFERROR(((R247/O247)*AH247)*((Inputs!$B$12)+(((Q247/O247)*AH247)*Inputs!$B$23)),0)</f>
        <v>0</v>
      </c>
      <c r="AJ247" s="255"/>
      <c r="AK247" s="255"/>
      <c r="AL247" s="255">
        <f>IF(O247&gt;0,((R247/O247)*(O247-O126)*Inputs!$B$12)+((Q247/O247)*(O247-O126)*Inputs!$B$23),0)</f>
        <v>0.22551812417153136</v>
      </c>
      <c r="AM247" s="103">
        <f>(K126-K247)*Inputs!$B$12</f>
        <v>1.0585357677342117E-2</v>
      </c>
    </row>
    <row r="248" spans="2:39">
      <c r="B248" s="134">
        <v>0.58333333333333304</v>
      </c>
      <c r="C248" s="125">
        <f>Profiles!E46</f>
        <v>256</v>
      </c>
      <c r="D248" s="126">
        <f>IF(C248&lt;Inputs!$B$7,Inputs!$B$6,C248)</f>
        <v>220</v>
      </c>
      <c r="E248" s="127">
        <f>IF(VLOOKUP(K127,Profiles!$B$58:$C$88,2,TRUE)&gt;0,VLOOKUP(K127,Profiles!$B$58:$C$88,2,TRUE),0)</f>
        <v>0.96</v>
      </c>
      <c r="F248" s="127">
        <f t="shared" si="177"/>
        <v>0.140625</v>
      </c>
      <c r="G248" s="127">
        <f>F248*Inputs!$B$11</f>
        <v>0.12796874999999999</v>
      </c>
      <c r="H248" s="127">
        <f t="shared" si="187"/>
        <v>9.1634114583333259E-2</v>
      </c>
      <c r="I248" s="45">
        <f>Profiles!I20</f>
        <v>0.02</v>
      </c>
      <c r="J248" s="45">
        <f>Profiles!F46</f>
        <v>0.12</v>
      </c>
      <c r="K248" s="46">
        <f>IF(AND(H248&gt;0,K127&lt;Inputs!$B$15),K127*(1-H248),K127)</f>
        <v>0.42259975961538471</v>
      </c>
      <c r="L248" s="46">
        <f t="shared" si="178"/>
        <v>0</v>
      </c>
      <c r="M248" s="114">
        <f>IF(Inputs!$B$26="Yes",VLOOKUP(D248,VWR[#All],2,FALSE),1)</f>
        <v>1</v>
      </c>
      <c r="N248" s="114">
        <f>IF(Inputs!$B$27="Yes",VLOOKUP(D248,VVR[#All],2,FALSE),0)</f>
        <v>0</v>
      </c>
      <c r="O248" s="46">
        <f>(J127*Inputs!$B$18*Inputs!$B$44/$C$108)*M248</f>
        <v>4.4282511244949303</v>
      </c>
      <c r="P248" s="46">
        <f t="shared" si="179"/>
        <v>0</v>
      </c>
      <c r="Q248" s="46">
        <f t="shared" si="180"/>
        <v>4.0056513648795455</v>
      </c>
      <c r="R248" s="46">
        <f t="shared" si="181"/>
        <v>0.42259975961538471</v>
      </c>
      <c r="S248" s="103">
        <f t="shared" si="182"/>
        <v>0</v>
      </c>
      <c r="T248" s="46">
        <f t="shared" si="183"/>
        <v>4.4282511244949303</v>
      </c>
      <c r="U248" s="46">
        <f t="shared" si="171"/>
        <v>0</v>
      </c>
      <c r="V248" s="46">
        <f t="shared" si="184"/>
        <v>4.0056513648795455</v>
      </c>
      <c r="W248" s="46">
        <f t="shared" si="172"/>
        <v>0.42259975961538471</v>
      </c>
      <c r="X248" s="103">
        <f t="shared" si="173"/>
        <v>15.647075644060724</v>
      </c>
      <c r="Y248" s="46">
        <f>X248*Inputs!$B$8</f>
        <v>5.9458887447430753</v>
      </c>
      <c r="Z248" s="170">
        <f t="shared" si="185"/>
        <v>225.94588874474309</v>
      </c>
      <c r="AA248" s="104">
        <f>IF(AND(Z248&gt;=255,C248&lt;=Inputs!$B$7,V248&gt;0),(($AN$22-$AN$21)/($AM$22-$AM$21)*(Z248-$AM$21)+$AN$21)*O248,0)</f>
        <v>0</v>
      </c>
      <c r="AB248" s="104">
        <f t="shared" si="174"/>
        <v>4.4282511244949303</v>
      </c>
      <c r="AC248" s="46">
        <f t="shared" si="175"/>
        <v>0</v>
      </c>
      <c r="AD248" s="46">
        <f t="shared" si="186"/>
        <v>4.0056513648795455</v>
      </c>
      <c r="AE248" s="46">
        <f t="shared" si="176"/>
        <v>0.42259975961538471</v>
      </c>
      <c r="AF248" s="103">
        <f>IF(S248&gt;0,(((R248/O248)*S248)*Inputs!$B$12)+((Q248/O248)*S248)*Inputs!$B$23,0)</f>
        <v>0</v>
      </c>
      <c r="AG248" s="103">
        <f>IF(AA248&gt;0,(((W248/T248)*AA248)*Inputs!$B$12)+((V248/T248)*AA248)*Inputs!$B$23,0)</f>
        <v>0</v>
      </c>
      <c r="AH248" s="331">
        <f>IF(AB248&gt;0,((J248*Inputs!$B$18*Inputs!$B$44/$C$108)-O248),0)</f>
        <v>0</v>
      </c>
      <c r="AI248" s="331">
        <f>IFERROR(((R248/O248)*AH248)*((Inputs!$B$12)+(((Q248/O248)*AH248)*Inputs!$B$23)),0)</f>
        <v>0</v>
      </c>
      <c r="AJ248" s="255"/>
      <c r="AK248" s="255"/>
      <c r="AL248" s="255">
        <f>IF(O248&gt;0,((R248/O248)*(O248-O127)*Inputs!$B$12)+((Q248/O248)*(O248-O127)*Inputs!$B$23),0)</f>
        <v>0.1862726739498361</v>
      </c>
      <c r="AM248" s="103">
        <f>(K127-K248)*Inputs!$B$12</f>
        <v>1.0231442307692297E-2</v>
      </c>
    </row>
    <row r="249" spans="2:39">
      <c r="B249" s="134">
        <v>0.625</v>
      </c>
      <c r="C249" s="125">
        <f>Profiles!E47</f>
        <v>256</v>
      </c>
      <c r="D249" s="126">
        <f>IF(C249&lt;Inputs!$B$7,Inputs!$B$6,C249)</f>
        <v>220</v>
      </c>
      <c r="E249" s="127">
        <f>IF(VLOOKUP(K128,Profiles!$B$58:$C$88,2,TRUE)&gt;0,VLOOKUP(K128,Profiles!$B$58:$C$88,2,TRUE),0)</f>
        <v>0.96</v>
      </c>
      <c r="F249" s="127">
        <f t="shared" si="177"/>
        <v>0.140625</v>
      </c>
      <c r="G249" s="127">
        <f>F249*Inputs!$B$11</f>
        <v>0.12796874999999999</v>
      </c>
      <c r="H249" s="127">
        <f t="shared" si="187"/>
        <v>9.1634114583333259E-2</v>
      </c>
      <c r="I249" s="45">
        <f>Profiles!I21</f>
        <v>0.02</v>
      </c>
      <c r="J249" s="45">
        <f>Profiles!F47</f>
        <v>0.11</v>
      </c>
      <c r="K249" s="46">
        <f>IF(AND(H249&gt;0,K128&lt;Inputs!$B$15),K128*(1-H249),K128)</f>
        <v>0.42259975961538471</v>
      </c>
      <c r="L249" s="46">
        <f t="shared" si="178"/>
        <v>0</v>
      </c>
      <c r="M249" s="114">
        <f>IF(Inputs!$B$26="Yes",VLOOKUP(D249,VWR[#All],2,FALSE),1)</f>
        <v>1</v>
      </c>
      <c r="N249" s="114">
        <f>IF(Inputs!$B$27="Yes",VLOOKUP(D249,VVR[#All],2,FALSE),0)</f>
        <v>0</v>
      </c>
      <c r="O249" s="46">
        <f>(J128*Inputs!$B$18*Inputs!$B$44/$C$108)*M249</f>
        <v>4.0592301974536866</v>
      </c>
      <c r="P249" s="46">
        <f t="shared" si="179"/>
        <v>0</v>
      </c>
      <c r="Q249" s="46">
        <f t="shared" si="180"/>
        <v>3.6366304378383019</v>
      </c>
      <c r="R249" s="46">
        <f t="shared" si="181"/>
        <v>0.42259975961538471</v>
      </c>
      <c r="S249" s="103">
        <f t="shared" si="182"/>
        <v>0</v>
      </c>
      <c r="T249" s="46">
        <f t="shared" si="183"/>
        <v>4.0592301974536866</v>
      </c>
      <c r="U249" s="46">
        <f t="shared" si="171"/>
        <v>0</v>
      </c>
      <c r="V249" s="46">
        <f t="shared" si="184"/>
        <v>3.6366304378383019</v>
      </c>
      <c r="W249" s="46">
        <f t="shared" si="172"/>
        <v>0.42259975961538471</v>
      </c>
      <c r="X249" s="103">
        <f t="shared" si="173"/>
        <v>14.205587647805867</v>
      </c>
      <c r="Y249" s="46">
        <f>X249*Inputs!$B$8</f>
        <v>5.3981233061662293</v>
      </c>
      <c r="Z249" s="170">
        <f t="shared" si="185"/>
        <v>225.39812330616624</v>
      </c>
      <c r="AA249" s="104">
        <f>IF(AND(Z249&gt;=255,C249&lt;=Inputs!$B$7,V249&gt;0),(($AN$22-$AN$21)/($AM$22-$AM$21)*(Z249-$AM$21)+$AN$21)*O249,0)</f>
        <v>0</v>
      </c>
      <c r="AB249" s="104">
        <f t="shared" si="174"/>
        <v>4.0592301974536866</v>
      </c>
      <c r="AC249" s="46">
        <f t="shared" si="175"/>
        <v>0</v>
      </c>
      <c r="AD249" s="46">
        <f t="shared" si="186"/>
        <v>3.6366304378383019</v>
      </c>
      <c r="AE249" s="46">
        <f t="shared" si="176"/>
        <v>0.42259975961538471</v>
      </c>
      <c r="AF249" s="103">
        <f>IF(S249&gt;0,(((R249/O249)*S249)*Inputs!$B$12)+((Q249/O249)*S249)*Inputs!$B$23,0)</f>
        <v>0</v>
      </c>
      <c r="AG249" s="103">
        <f>IF(AA249&gt;0,(((W249/T249)*AA249)*Inputs!$B$12)+((V249/T249)*AA249)*Inputs!$B$23,0)</f>
        <v>0</v>
      </c>
      <c r="AH249" s="331">
        <f>IF(AB249&gt;0,((J249*Inputs!$B$18*Inputs!$B$44/$C$108)-O249),0)</f>
        <v>0</v>
      </c>
      <c r="AI249" s="331">
        <f>IFERROR(((R249/O249)*AH249)*((Inputs!$B$12)+(((Q249/O249)*AH249)*Inputs!$B$23)),0)</f>
        <v>0</v>
      </c>
      <c r="AJ249" s="255"/>
      <c r="AK249" s="255"/>
      <c r="AL249" s="255">
        <f>IF(O249&gt;0,((R249/O249)*(O249-O128)*Inputs!$B$12)+((Q249/O249)*(O249-O128)*Inputs!$B$23),0)</f>
        <v>0.17210227035145237</v>
      </c>
      <c r="AM249" s="103">
        <f>(K128-K249)*Inputs!$B$12</f>
        <v>1.0231442307692297E-2</v>
      </c>
    </row>
    <row r="250" spans="2:39" s="336" customFormat="1">
      <c r="B250" s="134">
        <v>0.66666666666666696</v>
      </c>
      <c r="C250" s="125">
        <f>Profiles!E48</f>
        <v>255</v>
      </c>
      <c r="D250" s="126">
        <f>IF(C250&lt;Inputs!$B$7,Inputs!$B$6,C250)</f>
        <v>220</v>
      </c>
      <c r="E250" s="127">
        <f>IF(VLOOKUP(K129,Profiles!$B$58:$C$88,2,TRUE)&gt;0,VLOOKUP(K129,Profiles!$B$58:$C$88,2,TRUE),0)</f>
        <v>0.98</v>
      </c>
      <c r="F250" s="127">
        <f t="shared" si="177"/>
        <v>0.13725490196078433</v>
      </c>
      <c r="G250" s="127">
        <f>F250*Inputs!$B$11</f>
        <v>0.12490196078431375</v>
      </c>
      <c r="H250" s="127">
        <f t="shared" si="187"/>
        <v>0.10704281712685071</v>
      </c>
      <c r="I250" s="337">
        <f>Profiles!I22</f>
        <v>0.05</v>
      </c>
      <c r="J250" s="337">
        <f>Profiles!F48</f>
        <v>0.08</v>
      </c>
      <c r="K250" s="46">
        <f>IF(AND(H250&gt;0,K129&lt;Inputs!$B$15),K129*(1-H250),K129)</f>
        <v>1.03857789269554</v>
      </c>
      <c r="L250" s="46">
        <f t="shared" si="178"/>
        <v>0</v>
      </c>
      <c r="M250" s="114">
        <f>IF(Inputs!$B$26="Yes",VLOOKUP(D250,VWR[#All],2,FALSE),1)</f>
        <v>1</v>
      </c>
      <c r="N250" s="114">
        <f>IF(Inputs!$B$27="Yes",VLOOKUP(D250,VVR[#All],2,FALSE),0)</f>
        <v>0</v>
      </c>
      <c r="O250" s="46">
        <f>(J250*Inputs!$B$18*Inputs!$B$44/$C$108)*M250</f>
        <v>2.9521674163299538</v>
      </c>
      <c r="P250" s="46">
        <f t="shared" si="179"/>
        <v>0</v>
      </c>
      <c r="Q250" s="46">
        <f t="shared" si="180"/>
        <v>1.9135895236344138</v>
      </c>
      <c r="R250" s="46">
        <f t="shared" si="181"/>
        <v>1.03857789269554</v>
      </c>
      <c r="S250" s="103">
        <f t="shared" si="182"/>
        <v>0</v>
      </c>
      <c r="T250" s="46">
        <f t="shared" si="183"/>
        <v>2.9521674163299538</v>
      </c>
      <c r="U250" s="46">
        <f t="shared" si="171"/>
        <v>0</v>
      </c>
      <c r="V250" s="46">
        <f t="shared" si="184"/>
        <v>1.9135895236344138</v>
      </c>
      <c r="W250" s="46">
        <f t="shared" si="172"/>
        <v>1.03857789269554</v>
      </c>
      <c r="X250" s="103">
        <f t="shared" si="173"/>
        <v>7.5042726417035839</v>
      </c>
      <c r="Y250" s="46">
        <f>X250*Inputs!$B$8</f>
        <v>2.8516236038473619</v>
      </c>
      <c r="Z250" s="170">
        <f t="shared" si="185"/>
        <v>222.85162360384737</v>
      </c>
      <c r="AA250" s="104">
        <f>IF(AND(Z250&gt;=255,C250&lt;=Inputs!$B$7,V250&gt;0),(($AN$22-$AN$21)/($AM$22-$AM$21)*(Z250-$AM$21)+$AN$21)*O250,0)</f>
        <v>0</v>
      </c>
      <c r="AB250" s="104">
        <f t="shared" si="174"/>
        <v>2.9521674163299538</v>
      </c>
      <c r="AC250" s="46">
        <f t="shared" si="175"/>
        <v>0</v>
      </c>
      <c r="AD250" s="46">
        <f t="shared" si="186"/>
        <v>1.9135895236344138</v>
      </c>
      <c r="AE250" s="46">
        <f t="shared" si="176"/>
        <v>1.03857789269554</v>
      </c>
      <c r="AF250" s="103">
        <f>IF(S250&gt;0,(((R250/O250)*S250)*Inputs!$B$12)+((Q250/O250)*S250)*Inputs!$B$23,0)</f>
        <v>0</v>
      </c>
      <c r="AG250" s="103">
        <f>IF(AA250&gt;0,(((W250/T250)*AA250)*Inputs!$B$12)+((V250/T250)*AA250)*Inputs!$B$23,0)</f>
        <v>0</v>
      </c>
      <c r="AH250" s="331">
        <f>IF(AB250&gt;0,((J250*Inputs!$B$18*Inputs!$B$44/$C$108)-O250),0)</f>
        <v>0</v>
      </c>
      <c r="AI250" s="331">
        <f>IFERROR(((R250/O250)*AH250)*((Inputs!$B$12)+(((Q250/O250)*AH250)*Inputs!$B$23)),0)</f>
        <v>0</v>
      </c>
      <c r="AJ250" s="335"/>
      <c r="AK250" s="335"/>
      <c r="AL250" s="255">
        <f>IF(O250&gt;0,((R250/O250)*(O250-O129)*Inputs!$B$12)+((Q250/O250)*(O250-O129)*Inputs!$B$23),0)</f>
        <v>0.12770384988881578</v>
      </c>
      <c r="AM250" s="103">
        <f>(K129-K250)*Inputs!$B$12</f>
        <v>2.9879767291531998E-2</v>
      </c>
    </row>
    <row r="251" spans="2:39">
      <c r="B251" s="134">
        <v>0.70833333333333304</v>
      </c>
      <c r="C251" s="125">
        <f>Profiles!E49</f>
        <v>254</v>
      </c>
      <c r="D251" s="126">
        <f>IF(C251&lt;Inputs!$B$7,Inputs!$B$6,C251)</f>
        <v>220</v>
      </c>
      <c r="E251" s="127">
        <f>IF(VLOOKUP(K130,Profiles!$B$58:$C$88,2,TRUE)&gt;0,VLOOKUP(K130,Profiles!$B$58:$C$88,2,TRUE),0)</f>
        <v>0.98</v>
      </c>
      <c r="F251" s="127">
        <f t="shared" si="177"/>
        <v>0.13385826771653545</v>
      </c>
      <c r="G251" s="127">
        <f>F251*Inputs!$B$11</f>
        <v>0.12181102362204727</v>
      </c>
      <c r="H251" s="127">
        <f t="shared" si="187"/>
        <v>0.10388879961433395</v>
      </c>
      <c r="I251" s="45">
        <f>Profiles!I23</f>
        <v>0.08</v>
      </c>
      <c r="J251" s="45">
        <f>Profiles!F49</f>
        <v>4.4999999999999998E-2</v>
      </c>
      <c r="K251" s="46">
        <f>IF(AND(H251&gt;0,K130&lt;Inputs!$B$15),K130*(1-H251),K130)</f>
        <v>1.6675940122869257</v>
      </c>
      <c r="L251" s="46">
        <f t="shared" si="178"/>
        <v>0</v>
      </c>
      <c r="M251" s="114">
        <f>IF(Inputs!$B$26="Yes",VLOOKUP(D251,VWR[#All],2,FALSE),1)</f>
        <v>1</v>
      </c>
      <c r="N251" s="114">
        <f>IF(Inputs!$B$27="Yes",VLOOKUP(D251,VVR[#All],2,FALSE),0)</f>
        <v>0</v>
      </c>
      <c r="O251" s="46">
        <f>(J130*Inputs!$B$18*Inputs!$B$44/$C$108)*M251</f>
        <v>1.660594171685599</v>
      </c>
      <c r="P251" s="46">
        <f t="shared" si="179"/>
        <v>6.9998406013267456E-3</v>
      </c>
      <c r="Q251" s="46">
        <f t="shared" si="180"/>
        <v>0</v>
      </c>
      <c r="R251" s="46">
        <f t="shared" si="181"/>
        <v>1.660594171685599</v>
      </c>
      <c r="S251" s="103">
        <f t="shared" si="182"/>
        <v>0</v>
      </c>
      <c r="T251" s="46">
        <f t="shared" si="183"/>
        <v>1.660594171685599</v>
      </c>
      <c r="U251" s="46">
        <f t="shared" si="171"/>
        <v>6.9998406013267456E-3</v>
      </c>
      <c r="V251" s="46">
        <f t="shared" si="184"/>
        <v>0</v>
      </c>
      <c r="W251" s="46">
        <f t="shared" si="172"/>
        <v>1.660594171685599</v>
      </c>
      <c r="X251" s="103">
        <f t="shared" si="173"/>
        <v>0</v>
      </c>
      <c r="Y251" s="46">
        <f>X251*Inputs!$B$8</f>
        <v>0</v>
      </c>
      <c r="Z251" s="170">
        <f t="shared" si="185"/>
        <v>220</v>
      </c>
      <c r="AA251" s="104">
        <f>IF(AND(Z251&gt;=255,C251&lt;=Inputs!$B$7,V251&gt;0),(($AN$22-$AN$21)/($AM$22-$AM$21)*(Z251-$AM$21)+$AN$21)*O251,0)</f>
        <v>0</v>
      </c>
      <c r="AB251" s="104">
        <f t="shared" si="174"/>
        <v>1.660594171685599</v>
      </c>
      <c r="AC251" s="46">
        <f t="shared" si="175"/>
        <v>6.9998406013267456E-3</v>
      </c>
      <c r="AD251" s="46">
        <f t="shared" si="186"/>
        <v>0</v>
      </c>
      <c r="AE251" s="46">
        <f t="shared" si="176"/>
        <v>1.660594171685599</v>
      </c>
      <c r="AF251" s="103">
        <f>IF(S251&gt;0,(((R251/O251)*S251)*Inputs!$B$12)+((Q251/O251)*S251)*Inputs!$B$23,0)</f>
        <v>0</v>
      </c>
      <c r="AG251" s="103">
        <f>IF(AA251&gt;0,(((W251/T251)*AA251)*Inputs!$B$12)+((V251/T251)*AA251)*Inputs!$B$23,0)</f>
        <v>0</v>
      </c>
      <c r="AH251" s="331">
        <f>IF(AB251&gt;0,((J251*Inputs!$B$18*Inputs!$B$44/$C$108)-O251),0)</f>
        <v>0</v>
      </c>
      <c r="AI251" s="331">
        <f>IFERROR(((R251/O251)*AH251)*((Inputs!$B$12)+(((Q251/O251)*AH251)*Inputs!$B$23)),0)</f>
        <v>0</v>
      </c>
      <c r="AJ251" s="255"/>
      <c r="AK251" s="255"/>
      <c r="AL251" s="255">
        <f>IF(O251&gt;0,((R251/O251)*(O251-O130)*Inputs!$B$12)+((Q251/O251)*(O251-O130)*Inputs!$B$23),0)</f>
        <v>8.5022421590302669E-2</v>
      </c>
      <c r="AM251" s="103">
        <f>(K130-K251)*Inputs!$B$12</f>
        <v>4.6398975512676334E-2</v>
      </c>
    </row>
    <row r="252" spans="2:39">
      <c r="B252" s="134">
        <v>0.75</v>
      </c>
      <c r="C252" s="125">
        <f>Profiles!E50</f>
        <v>254</v>
      </c>
      <c r="D252" s="126">
        <f>IF(C252&lt;Inputs!$B$7,Inputs!$B$6,C252)</f>
        <v>220</v>
      </c>
      <c r="E252" s="127">
        <f>IF(VLOOKUP(K131,Profiles!$B$58:$C$88,2,TRUE)&gt;0,VLOOKUP(K131,Profiles!$B$58:$C$88,2,TRUE),0)</f>
        <v>0.98</v>
      </c>
      <c r="F252" s="127">
        <f t="shared" si="177"/>
        <v>0.13385826771653545</v>
      </c>
      <c r="G252" s="127">
        <f>F252*Inputs!$B$11</f>
        <v>0.12181102362204727</v>
      </c>
      <c r="H252" s="127">
        <f t="shared" si="187"/>
        <v>0.10388879961433395</v>
      </c>
      <c r="I252" s="45">
        <f>Profiles!I24</f>
        <v>0.12</v>
      </c>
      <c r="J252" s="45">
        <f>Profiles!F50</f>
        <v>0.02</v>
      </c>
      <c r="K252" s="46">
        <f>IF(AND(H252&gt;0,K131&lt;Inputs!$B$15),K131*(1-H252),K131)</f>
        <v>2.5013910184303887</v>
      </c>
      <c r="L252" s="46">
        <f t="shared" si="178"/>
        <v>0</v>
      </c>
      <c r="M252" s="114">
        <f>IF(Inputs!$B$26="Yes",VLOOKUP(D252,VWR[#All],2,FALSE),1)</f>
        <v>1</v>
      </c>
      <c r="N252" s="114">
        <f>IF(Inputs!$B$27="Yes",VLOOKUP(D252,VVR[#All],2,FALSE),0)</f>
        <v>0</v>
      </c>
      <c r="O252" s="46">
        <f>(J131*Inputs!$B$18*Inputs!$B$44/$C$108)*M252</f>
        <v>0.73804185408248846</v>
      </c>
      <c r="P252" s="46">
        <f t="shared" si="179"/>
        <v>1.7633491643479002</v>
      </c>
      <c r="Q252" s="46">
        <f t="shared" si="180"/>
        <v>0</v>
      </c>
      <c r="R252" s="46">
        <f t="shared" si="181"/>
        <v>0.73804185408248846</v>
      </c>
      <c r="S252" s="103">
        <f t="shared" si="182"/>
        <v>0</v>
      </c>
      <c r="T252" s="46">
        <f t="shared" si="183"/>
        <v>0.73804185408248846</v>
      </c>
      <c r="U252" s="46">
        <f t="shared" si="171"/>
        <v>1.7633491643479002</v>
      </c>
      <c r="V252" s="46">
        <f t="shared" si="184"/>
        <v>0</v>
      </c>
      <c r="W252" s="46">
        <f t="shared" si="172"/>
        <v>0.73804185408248846</v>
      </c>
      <c r="X252" s="103">
        <f t="shared" si="173"/>
        <v>0</v>
      </c>
      <c r="Y252" s="46">
        <f>X252*Inputs!$B$8</f>
        <v>0</v>
      </c>
      <c r="Z252" s="170">
        <f t="shared" si="185"/>
        <v>220</v>
      </c>
      <c r="AA252" s="104">
        <f>IF(AND(Z252&gt;=255,C252&lt;=Inputs!$B$7,V252&gt;0),(($AN$22-$AN$21)/($AM$22-$AM$21)*(Z252-$AM$21)+$AN$21)*O252,0)</f>
        <v>0</v>
      </c>
      <c r="AB252" s="104">
        <f t="shared" si="174"/>
        <v>0.73804185408248846</v>
      </c>
      <c r="AC252" s="46">
        <f t="shared" si="175"/>
        <v>1.7633491643479002</v>
      </c>
      <c r="AD252" s="46">
        <f t="shared" si="186"/>
        <v>0</v>
      </c>
      <c r="AE252" s="46">
        <f t="shared" si="176"/>
        <v>0.73804185408248846</v>
      </c>
      <c r="AF252" s="103">
        <f>IF(S252&gt;0,(((R252/O252)*S252)*Inputs!$B$12)+((Q252/O252)*S252)*Inputs!$B$23,0)</f>
        <v>0</v>
      </c>
      <c r="AG252" s="103">
        <f>IF(AA252&gt;0,(((W252/T252)*AA252)*Inputs!$B$12)+((V252/T252)*AA252)*Inputs!$B$23,0)</f>
        <v>0</v>
      </c>
      <c r="AH252" s="331">
        <f>IF(AB252&gt;0,((J252*Inputs!$B$18*Inputs!$B$44/$C$108)-O252),0)</f>
        <v>0</v>
      </c>
      <c r="AI252" s="331">
        <f>IFERROR(((R252/O252)*AH252)*((Inputs!$B$12)+(((Q252/O252)*AH252)*Inputs!$B$23)),0)</f>
        <v>0</v>
      </c>
      <c r="AJ252" s="255"/>
      <c r="AK252" s="255"/>
      <c r="AL252" s="255">
        <f>IF(O252&gt;0,((R252/O252)*(O252-O131)*Inputs!$B$12)+((Q252/O252)*(O252-O131)*Inputs!$B$23),0)</f>
        <v>3.7787742929023406E-2</v>
      </c>
      <c r="AM252" s="103">
        <f>(K131-K252)*Inputs!$B$12</f>
        <v>6.9598463269014449E-2</v>
      </c>
    </row>
    <row r="253" spans="2:39">
      <c r="B253" s="134">
        <v>0.79166666666666696</v>
      </c>
      <c r="C253" s="125">
        <f>Profiles!E51</f>
        <v>255</v>
      </c>
      <c r="D253" s="126">
        <f>IF(C253&lt;Inputs!$B$7,Inputs!$B$6,C253)</f>
        <v>220</v>
      </c>
      <c r="E253" s="127">
        <f>IF(VLOOKUP(K132,Profiles!$B$58:$C$88,2,TRUE)&gt;0,VLOOKUP(K132,Profiles!$B$58:$C$88,2,TRUE),0)</f>
        <v>0.98</v>
      </c>
      <c r="F253" s="127">
        <f t="shared" si="177"/>
        <v>0.13725490196078433</v>
      </c>
      <c r="G253" s="127">
        <f>F253*Inputs!$B$11</f>
        <v>0.12490196078431375</v>
      </c>
      <c r="H253" s="127">
        <f t="shared" si="187"/>
        <v>0.10704281712685071</v>
      </c>
      <c r="I253" s="45">
        <f>Profiles!I25</f>
        <v>0.12</v>
      </c>
      <c r="J253" s="45">
        <f>Profiles!F51</f>
        <v>0</v>
      </c>
      <c r="K253" s="46">
        <f>IF(AND(H253&gt;0,K132&lt;Inputs!$B$15),K132*(1-H253),K132)</f>
        <v>2.4925869424692957</v>
      </c>
      <c r="L253" s="46">
        <f t="shared" si="178"/>
        <v>0</v>
      </c>
      <c r="M253" s="114">
        <f>IF(Inputs!$B$26="Yes",VLOOKUP(D253,VWR[#All],2,FALSE),1)</f>
        <v>1</v>
      </c>
      <c r="N253" s="114">
        <f>IF(Inputs!$B$27="Yes",VLOOKUP(D253,VVR[#All],2,FALSE),0)</f>
        <v>0</v>
      </c>
      <c r="O253" s="46">
        <f>(J132*Inputs!$B$18*Inputs!$B$44/$C$108)*M253</f>
        <v>0</v>
      </c>
      <c r="P253" s="46">
        <f t="shared" si="179"/>
        <v>2.4925869424692957</v>
      </c>
      <c r="Q253" s="46">
        <f t="shared" si="180"/>
        <v>0</v>
      </c>
      <c r="R253" s="46">
        <f t="shared" si="181"/>
        <v>0</v>
      </c>
      <c r="S253" s="103">
        <f t="shared" si="182"/>
        <v>0</v>
      </c>
      <c r="T253" s="46">
        <f t="shared" si="183"/>
        <v>0</v>
      </c>
      <c r="U253" s="46">
        <f t="shared" si="171"/>
        <v>2.4925869424692957</v>
      </c>
      <c r="V253" s="46">
        <f t="shared" si="184"/>
        <v>0</v>
      </c>
      <c r="W253" s="46">
        <f t="shared" si="172"/>
        <v>0</v>
      </c>
      <c r="X253" s="103">
        <f t="shared" si="173"/>
        <v>0</v>
      </c>
      <c r="Y253" s="46">
        <f>X253*Inputs!$B$8</f>
        <v>0</v>
      </c>
      <c r="Z253" s="170">
        <f t="shared" si="185"/>
        <v>220</v>
      </c>
      <c r="AA253" s="104">
        <f>IF(AND(Z253&gt;=255,C253&lt;=Inputs!$B$7,V253&gt;0),(($AN$22-$AN$21)/($AM$22-$AM$21)*(Z253-$AM$21)+$AN$21)*O253,0)</f>
        <v>0</v>
      </c>
      <c r="AB253" s="104">
        <f t="shared" si="174"/>
        <v>0</v>
      </c>
      <c r="AC253" s="46">
        <f t="shared" si="175"/>
        <v>2.4925869424692957</v>
      </c>
      <c r="AD253" s="46">
        <f t="shared" si="186"/>
        <v>0</v>
      </c>
      <c r="AE253" s="46">
        <f t="shared" si="176"/>
        <v>0</v>
      </c>
      <c r="AF253" s="103">
        <f>IF(S253&gt;0,(((R253/O253)*S253)*Inputs!$B$12)+((Q253/O253)*S253)*Inputs!$B$23,0)</f>
        <v>0</v>
      </c>
      <c r="AG253" s="103">
        <f>IF(AA253&gt;0,(((W253/T253)*AA253)*Inputs!$B$12)+((V253/T253)*AA253)*Inputs!$B$23,0)</f>
        <v>0</v>
      </c>
      <c r="AH253" s="331">
        <f>IF(AB253&gt;0,((J253*Inputs!$B$18*Inputs!$B$44/$C$108)-O253),0)</f>
        <v>0</v>
      </c>
      <c r="AI253" s="331">
        <f>IFERROR(((R253/O253)*AH253)*((Inputs!$B$12)+(((Q253/O253)*AH253)*Inputs!$B$23)),0)</f>
        <v>0</v>
      </c>
      <c r="AJ253" s="255"/>
      <c r="AK253" s="255"/>
      <c r="AL253" s="255">
        <f>IF(O253&gt;0,((R253/O253)*(O253-O132)*Inputs!$B$12)+((Q253/O253)*(O253-O132)*Inputs!$B$23),0)</f>
        <v>0</v>
      </c>
      <c r="AM253" s="103">
        <f>(K132-K253)*Inputs!$B$12</f>
        <v>7.1711441499676773E-2</v>
      </c>
    </row>
    <row r="254" spans="2:39">
      <c r="B254" s="134">
        <v>0.83333333333333304</v>
      </c>
      <c r="C254" s="125">
        <f>Profiles!E52</f>
        <v>255</v>
      </c>
      <c r="D254" s="126">
        <f>IF(C254&lt;Inputs!$B$7,Inputs!$B$6,C254)</f>
        <v>220</v>
      </c>
      <c r="E254" s="127">
        <f>IF(VLOOKUP(K133,Profiles!$B$58:$C$88,2,TRUE)&gt;0,VLOOKUP(K133,Profiles!$B$58:$C$88,2,TRUE),0)</f>
        <v>0.98</v>
      </c>
      <c r="F254" s="127">
        <f t="shared" si="177"/>
        <v>0.13725490196078433</v>
      </c>
      <c r="G254" s="127">
        <f>F254*Inputs!$B$11</f>
        <v>0.12490196078431375</v>
      </c>
      <c r="H254" s="127">
        <f t="shared" si="187"/>
        <v>0.10704281712685071</v>
      </c>
      <c r="I254" s="45">
        <f>Profiles!I26</f>
        <v>0.08</v>
      </c>
      <c r="J254" s="45">
        <f>Profiles!F52</f>
        <v>0</v>
      </c>
      <c r="K254" s="46">
        <f>IF(AND(H254&gt;0,K133&lt;Inputs!$B$15),K133*(1-H254),K133)</f>
        <v>1.6617246283128639</v>
      </c>
      <c r="L254" s="46">
        <f>IF(D254=C254,1,0)</f>
        <v>0</v>
      </c>
      <c r="M254" s="114">
        <f>IF(Inputs!$B$26="Yes",VLOOKUP(D254,VWR[#All],2,FALSE),1)</f>
        <v>1</v>
      </c>
      <c r="N254" s="114">
        <f>IF(Inputs!$B$27="Yes",VLOOKUP(D254,VVR[#All],2,FALSE),0)</f>
        <v>0</v>
      </c>
      <c r="O254" s="46">
        <f>(J133*Inputs!$B$18*Inputs!$B$44/$C$108)*M254</f>
        <v>0</v>
      </c>
      <c r="P254" s="46">
        <f t="shared" si="179"/>
        <v>1.6617246283128639</v>
      </c>
      <c r="Q254" s="46">
        <f>IF(O254&gt;K254,MIN((O254-K254),5),0)</f>
        <v>0</v>
      </c>
      <c r="R254" s="46">
        <f t="shared" si="181"/>
        <v>0</v>
      </c>
      <c r="S254" s="103">
        <f t="shared" si="182"/>
        <v>0</v>
      </c>
      <c r="T254" s="46">
        <f t="shared" si="183"/>
        <v>0</v>
      </c>
      <c r="U254" s="46">
        <f t="shared" si="171"/>
        <v>1.6617246283128639</v>
      </c>
      <c r="V254" s="46">
        <f t="shared" si="184"/>
        <v>0</v>
      </c>
      <c r="W254" s="46">
        <f t="shared" si="172"/>
        <v>0</v>
      </c>
      <c r="X254" s="103">
        <f t="shared" si="173"/>
        <v>0</v>
      </c>
      <c r="Y254" s="46">
        <f>X254*Inputs!$B$8</f>
        <v>0</v>
      </c>
      <c r="Z254" s="170">
        <f t="shared" si="185"/>
        <v>220</v>
      </c>
      <c r="AA254" s="104">
        <f>IF(AND(Z254&gt;=255,C254&lt;=Inputs!$B$7,V254&gt;0),(($AN$22-$AN$21)/($AM$22-$AM$21)*(Z254-$AM$21)+$AN$21)*O254,0)</f>
        <v>0</v>
      </c>
      <c r="AB254" s="104">
        <f t="shared" si="174"/>
        <v>0</v>
      </c>
      <c r="AC254" s="46">
        <f t="shared" si="175"/>
        <v>1.6617246283128639</v>
      </c>
      <c r="AD254" s="46">
        <f t="shared" si="186"/>
        <v>0</v>
      </c>
      <c r="AE254" s="46">
        <f t="shared" si="176"/>
        <v>0</v>
      </c>
      <c r="AF254" s="103">
        <f>IF(S254&gt;0,(((R254/O254)*S254)*Inputs!$B$12)+((Q254/O254)*S254)*Inputs!$B$23,0)</f>
        <v>0</v>
      </c>
      <c r="AG254" s="103">
        <f>IF(AA254&gt;0,(((W254/T254)*AA254)*Inputs!$B$12)+((V254/T254)*AA254)*Inputs!$B$23,0)</f>
        <v>0</v>
      </c>
      <c r="AH254" s="331">
        <f>IF(AB254&gt;0,((J254*Inputs!$B$18*Inputs!$B$44/$C$108)-O254),0)</f>
        <v>0</v>
      </c>
      <c r="AI254" s="331">
        <f>IFERROR(((R254/O254)*AH254)*((Inputs!$B$12)+(((Q254/O254)*AH254)*Inputs!$B$23)),0)</f>
        <v>0</v>
      </c>
      <c r="AJ254" s="255"/>
      <c r="AK254" s="255"/>
      <c r="AL254" s="255">
        <f>IF(O254&gt;0,((R254/O254)*(O254-O133)*Inputs!$B$12)+((Q254/O254)*(O254-O133)*Inputs!$B$23),0)</f>
        <v>0</v>
      </c>
      <c r="AM254" s="103">
        <f>(K133-K254)*Inputs!$B$12</f>
        <v>4.7807627666451163E-2</v>
      </c>
    </row>
    <row r="255" spans="2:39">
      <c r="B255" s="134">
        <v>0.875</v>
      </c>
      <c r="C255" s="125">
        <f>Profiles!E53</f>
        <v>255</v>
      </c>
      <c r="D255" s="126">
        <f>IF(C255&lt;Inputs!$B$7,Inputs!$B$6,C255)</f>
        <v>220</v>
      </c>
      <c r="E255" s="127">
        <f>IF(VLOOKUP(K134,Profiles!$B$58:$C$88,2,TRUE)&gt;0,VLOOKUP(K134,Profiles!$B$58:$C$88,2,TRUE),0)</f>
        <v>0.98</v>
      </c>
      <c r="F255" s="127">
        <f t="shared" si="177"/>
        <v>0.13725490196078433</v>
      </c>
      <c r="G255" s="127">
        <f>F255*Inputs!$B$11</f>
        <v>0.12490196078431375</v>
      </c>
      <c r="H255" s="127">
        <f t="shared" si="187"/>
        <v>0.10704281712685071</v>
      </c>
      <c r="I255" s="45">
        <f>Profiles!I27</f>
        <v>0.06</v>
      </c>
      <c r="J255" s="45">
        <f>Profiles!F53</f>
        <v>0</v>
      </c>
      <c r="K255" s="46">
        <f>IF(AND(H255&gt;0,K134&lt;Inputs!$B$15),K134*(1-H255),K134)</f>
        <v>1.2462934712346478</v>
      </c>
      <c r="L255" s="46">
        <f t="shared" si="178"/>
        <v>0</v>
      </c>
      <c r="M255" s="114">
        <f>IF(Inputs!$B$26="Yes",VLOOKUP(D255,VWR[#All],2,FALSE),1)</f>
        <v>1</v>
      </c>
      <c r="N255" s="114">
        <f>IF(Inputs!$B$27="Yes",VLOOKUP(D255,VVR[#All],2,FALSE),0)</f>
        <v>0</v>
      </c>
      <c r="O255" s="46">
        <f>(J134*Inputs!$B$18*Inputs!$B$44/$C$108)*M255</f>
        <v>0</v>
      </c>
      <c r="P255" s="46">
        <f t="shared" si="179"/>
        <v>1.2462934712346478</v>
      </c>
      <c r="Q255" s="46">
        <f t="shared" si="180"/>
        <v>0</v>
      </c>
      <c r="R255" s="46">
        <f t="shared" si="181"/>
        <v>0</v>
      </c>
      <c r="S255" s="103">
        <f t="shared" si="182"/>
        <v>0</v>
      </c>
      <c r="T255" s="46">
        <f t="shared" si="183"/>
        <v>0</v>
      </c>
      <c r="U255" s="46">
        <f t="shared" si="171"/>
        <v>1.2462934712346478</v>
      </c>
      <c r="V255" s="46">
        <f t="shared" si="184"/>
        <v>0</v>
      </c>
      <c r="W255" s="46">
        <f t="shared" si="172"/>
        <v>0</v>
      </c>
      <c r="X255" s="103">
        <f t="shared" si="173"/>
        <v>0</v>
      </c>
      <c r="Y255" s="46">
        <f>X255*Inputs!$B$8</f>
        <v>0</v>
      </c>
      <c r="Z255" s="170">
        <f t="shared" si="185"/>
        <v>220</v>
      </c>
      <c r="AA255" s="104">
        <f>IF(AND(Z255&gt;=255,C255&lt;=Inputs!$B$7,V255&gt;0),(($AN$22-$AN$21)/($AM$22-$AM$21)*(Z255-$AM$21)+$AN$21)*O255,0)</f>
        <v>0</v>
      </c>
      <c r="AB255" s="104">
        <f t="shared" si="174"/>
        <v>0</v>
      </c>
      <c r="AC255" s="46">
        <f t="shared" si="175"/>
        <v>1.2462934712346478</v>
      </c>
      <c r="AD255" s="46">
        <f t="shared" si="186"/>
        <v>0</v>
      </c>
      <c r="AE255" s="46">
        <f t="shared" si="176"/>
        <v>0</v>
      </c>
      <c r="AF255" s="103">
        <f>IF(S255&gt;0,(((R255/O255)*S255)*Inputs!$B$12)+((Q255/O255)*S255)*Inputs!$B$23,0)</f>
        <v>0</v>
      </c>
      <c r="AG255" s="103">
        <f>IF(AA255&gt;0,(((W255/T255)*AA255)*Inputs!$B$12)+((V255/T255)*AA255)*Inputs!$B$23,0)</f>
        <v>0</v>
      </c>
      <c r="AH255" s="331">
        <f>IF(AB255&gt;0,((J255*Inputs!$B$18*Inputs!$B$44/$C$108)-O255),0)</f>
        <v>0</v>
      </c>
      <c r="AI255" s="331">
        <f>IFERROR(((R255/O255)*AH255)*((Inputs!$B$12)+(((Q255/O255)*AH255)*Inputs!$B$23)),0)</f>
        <v>0</v>
      </c>
      <c r="AJ255" s="255"/>
      <c r="AK255" s="255"/>
      <c r="AL255" s="255">
        <f>IF(O255&gt;0,((R255/O255)*(O255-O134)*Inputs!$B$12)+((Q255/O255)*(O255-O134)*Inputs!$B$23),0)</f>
        <v>0</v>
      </c>
      <c r="AM255" s="103">
        <f>(K134-K255)*Inputs!$B$12</f>
        <v>3.5855720749838386E-2</v>
      </c>
    </row>
    <row r="256" spans="2:39">
      <c r="B256" s="134">
        <v>0.91666666666666696</v>
      </c>
      <c r="C256" s="125">
        <f>Profiles!E54</f>
        <v>255</v>
      </c>
      <c r="D256" s="126">
        <f>IF(C256&lt;Inputs!$B$7,Inputs!$B$6,C256)</f>
        <v>220</v>
      </c>
      <c r="E256" s="127">
        <f>IF(VLOOKUP(K135,Profiles!$B$58:$C$88,2,TRUE)&gt;0,VLOOKUP(K135,Profiles!$B$58:$C$88,2,TRUE),0)</f>
        <v>0.97</v>
      </c>
      <c r="F256" s="127">
        <f t="shared" si="177"/>
        <v>0.13725490196078433</v>
      </c>
      <c r="G256" s="127">
        <f>F256*Inputs!$B$11</f>
        <v>0.12490196078431375</v>
      </c>
      <c r="H256" s="127">
        <f t="shared" si="187"/>
        <v>9.783707297351929E-2</v>
      </c>
      <c r="I256" s="45">
        <f>Profiles!I28</f>
        <v>0.03</v>
      </c>
      <c r="J256" s="45">
        <f>Profiles!F54</f>
        <v>0</v>
      </c>
      <c r="K256" s="46">
        <f>IF(AND(H256&gt;0,K135&lt;Inputs!$B$15),K135*(1-H256),K135)</f>
        <v>0.62957092876801801</v>
      </c>
      <c r="L256" s="46">
        <f t="shared" si="178"/>
        <v>0</v>
      </c>
      <c r="M256" s="114">
        <f>IF(Inputs!$B$26="Yes",VLOOKUP(D256,VWR[#All],2,FALSE),1)</f>
        <v>1</v>
      </c>
      <c r="N256" s="114">
        <f>IF(Inputs!$B$27="Yes",VLOOKUP(D256,VVR[#All],2,FALSE),0)</f>
        <v>0</v>
      </c>
      <c r="O256" s="46">
        <f>(J135*Inputs!$B$18*Inputs!$B$44/$C$108)*M256</f>
        <v>0</v>
      </c>
      <c r="P256" s="46">
        <f t="shared" si="179"/>
        <v>0.62957092876801801</v>
      </c>
      <c r="Q256" s="46">
        <f t="shared" si="180"/>
        <v>0</v>
      </c>
      <c r="R256" s="46">
        <f t="shared" si="181"/>
        <v>0</v>
      </c>
      <c r="S256" s="103">
        <f t="shared" si="182"/>
        <v>0</v>
      </c>
      <c r="T256" s="46">
        <f t="shared" si="183"/>
        <v>0</v>
      </c>
      <c r="U256" s="46">
        <f t="shared" si="171"/>
        <v>0.62957092876801801</v>
      </c>
      <c r="V256" s="46">
        <f t="shared" si="184"/>
        <v>0</v>
      </c>
      <c r="W256" s="46">
        <f t="shared" si="172"/>
        <v>0</v>
      </c>
      <c r="X256" s="103">
        <f t="shared" si="173"/>
        <v>0</v>
      </c>
      <c r="Y256" s="46">
        <f>X256*Inputs!$B$8</f>
        <v>0</v>
      </c>
      <c r="Z256" s="170">
        <f t="shared" si="185"/>
        <v>220</v>
      </c>
      <c r="AA256" s="104">
        <f>IF(AND(Z256&gt;=255,C256&lt;=Inputs!$B$7,V256&gt;0),(($AN$22-$AN$21)/($AM$22-$AM$21)*(Z256-$AM$21)+$AN$21)*O256,0)</f>
        <v>0</v>
      </c>
      <c r="AB256" s="104">
        <f t="shared" si="174"/>
        <v>0</v>
      </c>
      <c r="AC256" s="46">
        <f t="shared" si="175"/>
        <v>0.62957092876801801</v>
      </c>
      <c r="AD256" s="46">
        <f t="shared" si="186"/>
        <v>0</v>
      </c>
      <c r="AE256" s="46">
        <f t="shared" si="176"/>
        <v>0</v>
      </c>
      <c r="AF256" s="103">
        <f>IF(S256&gt;0,(((R256/O256)*S256)*Inputs!$B$12)+((Q256/O256)*S256)*Inputs!$B$23,0)</f>
        <v>0</v>
      </c>
      <c r="AG256" s="103">
        <f>IF(AA256&gt;0,(((W256/T256)*AA256)*Inputs!$B$12)+((V256/T256)*AA256)*Inputs!$B$23,0)</f>
        <v>0</v>
      </c>
      <c r="AH256" s="331">
        <f>IF(AB256&gt;0,((J256*Inputs!$B$18*Inputs!$B$44/$C$108)-O256),0)</f>
        <v>0</v>
      </c>
      <c r="AI256" s="331">
        <f>IFERROR(((R256/O256)*AH256)*((Inputs!$B$12)+(((Q256/O256)*AH256)*Inputs!$B$23)),0)</f>
        <v>0</v>
      </c>
      <c r="AJ256" s="255"/>
      <c r="AK256" s="255"/>
      <c r="AL256" s="255">
        <f>IF(O256&gt;0,((R256/O256)*(O256-O135)*Inputs!$B$12)+((Q256/O256)*(O256-O135)*Inputs!$B$23),0)</f>
        <v>0</v>
      </c>
      <c r="AM256" s="103">
        <f>(K135-K256)*Inputs!$B$12</f>
        <v>1.6386054018752611E-2</v>
      </c>
    </row>
    <row r="257" spans="2:39">
      <c r="B257" s="134">
        <v>0.95833333333333304</v>
      </c>
      <c r="C257" s="125">
        <f>Profiles!E55</f>
        <v>255</v>
      </c>
      <c r="D257" s="126">
        <f>IF(C257&lt;Inputs!$B$7,Inputs!$B$6,C257)</f>
        <v>220</v>
      </c>
      <c r="E257" s="127">
        <f>IF(VLOOKUP(K136,Profiles!$B$58:$C$88,2,TRUE)&gt;0,VLOOKUP(K136,Profiles!$B$58:$C$88,2,TRUE),0)</f>
        <v>0.92</v>
      </c>
      <c r="F257" s="127">
        <f t="shared" si="177"/>
        <v>0.13725490196078433</v>
      </c>
      <c r="G257" s="127">
        <f>F257*Inputs!$B$11</f>
        <v>0.12490196078431375</v>
      </c>
      <c r="H257" s="127">
        <f t="shared" si="187"/>
        <v>4.8806479113384538E-2</v>
      </c>
      <c r="I257" s="45">
        <f>Profiles!I29</f>
        <v>0.01</v>
      </c>
      <c r="J257" s="45">
        <f>Profiles!F55</f>
        <v>0</v>
      </c>
      <c r="K257" s="46">
        <f>IF(AND(H257&gt;0,K136&lt;Inputs!$B$15),K136*(1-H257),K136)</f>
        <v>0.22126224670470196</v>
      </c>
      <c r="L257" s="46">
        <f t="shared" si="178"/>
        <v>0</v>
      </c>
      <c r="M257" s="114">
        <f>IF(Inputs!$B$26="Yes",VLOOKUP(D257,VWR[#All],2,FALSE),1)</f>
        <v>1</v>
      </c>
      <c r="N257" s="114">
        <f>IF(Inputs!$B$27="Yes",VLOOKUP(D257,VVR[#All],2,FALSE),0)</f>
        <v>0</v>
      </c>
      <c r="O257" s="46">
        <f>(J136*Inputs!$B$18*Inputs!$B$44/$C$108)*M257</f>
        <v>0</v>
      </c>
      <c r="P257" s="46">
        <f t="shared" si="179"/>
        <v>0.22126224670470196</v>
      </c>
      <c r="Q257" s="46">
        <f t="shared" si="180"/>
        <v>0</v>
      </c>
      <c r="R257" s="46">
        <f t="shared" si="181"/>
        <v>0</v>
      </c>
      <c r="S257" s="103">
        <f t="shared" si="182"/>
        <v>0</v>
      </c>
      <c r="T257" s="46">
        <f t="shared" si="183"/>
        <v>0</v>
      </c>
      <c r="U257" s="46">
        <f t="shared" si="171"/>
        <v>0.22126224670470196</v>
      </c>
      <c r="V257" s="46">
        <f t="shared" si="184"/>
        <v>0</v>
      </c>
      <c r="W257" s="46">
        <f t="shared" si="172"/>
        <v>0</v>
      </c>
      <c r="X257" s="103">
        <f t="shared" si="173"/>
        <v>0</v>
      </c>
      <c r="Y257" s="46">
        <f>X257*Inputs!$B$8</f>
        <v>0</v>
      </c>
      <c r="Z257" s="170">
        <f t="shared" si="185"/>
        <v>220</v>
      </c>
      <c r="AA257" s="104">
        <f>IF(AND(Z257&gt;=255,C257&lt;=Inputs!$B$7,V257&gt;0),(($AN$22-$AN$21)/($AM$22-$AM$21)*(Z257-$AM$21)+$AN$21)*O257,0)</f>
        <v>0</v>
      </c>
      <c r="AB257" s="104">
        <f t="shared" si="174"/>
        <v>0</v>
      </c>
      <c r="AC257" s="46">
        <f t="shared" si="175"/>
        <v>0.22126224670470196</v>
      </c>
      <c r="AD257" s="46">
        <f t="shared" si="186"/>
        <v>0</v>
      </c>
      <c r="AE257" s="46">
        <f t="shared" si="176"/>
        <v>0</v>
      </c>
      <c r="AF257" s="103">
        <f>IF(S257&gt;0,(((R257/O257)*S257)*Inputs!$B$12)+((Q257/O257)*S257)*Inputs!$B$23,0)</f>
        <v>0</v>
      </c>
      <c r="AG257" s="103">
        <f>IF(AA257&gt;0,(((W257/T257)*AA257)*Inputs!$B$12)+((V257/T257)*AA257)*Inputs!$B$23,0)</f>
        <v>0</v>
      </c>
      <c r="AH257" s="331">
        <f>IF(AB257&gt;0,((J257*Inputs!$B$18*Inputs!$B$44/$C$108)-O257),0)</f>
        <v>0</v>
      </c>
      <c r="AI257" s="331">
        <f>IFERROR(((R257/O257)*AH257)*((Inputs!$B$12)+(((Q257/O257)*AH257)*Inputs!$B$23)),0)</f>
        <v>0</v>
      </c>
      <c r="AJ257" s="255"/>
      <c r="AK257" s="255"/>
      <c r="AL257" s="255">
        <f>IF(O257&gt;0,((R257/O257)*(O257-O136)*Inputs!$B$12)+((Q257/O257)*(O257-O136)*Inputs!$B$23),0)</f>
        <v>0</v>
      </c>
      <c r="AM257" s="103">
        <f>(K136-K257)*Inputs!$B$12</f>
        <v>2.7247530985638436E-3</v>
      </c>
    </row>
    <row r="258" spans="2:39">
      <c r="S258" s="46"/>
    </row>
    <row r="259" spans="2:39">
      <c r="S259" s="46"/>
    </row>
    <row r="260" spans="2:39">
      <c r="S260" s="46"/>
    </row>
  </sheetData>
  <mergeCells count="51">
    <mergeCell ref="S140:W140"/>
    <mergeCell ref="K140:R140"/>
    <mergeCell ref="AF140:AM140"/>
    <mergeCell ref="K170:R170"/>
    <mergeCell ref="S170:W170"/>
    <mergeCell ref="X170:AA170"/>
    <mergeCell ref="AB170:AE170"/>
    <mergeCell ref="X140:AA140"/>
    <mergeCell ref="AB140:AE140"/>
    <mergeCell ref="AH49:AK49"/>
    <mergeCell ref="AH79:AK79"/>
    <mergeCell ref="AH109:AK109"/>
    <mergeCell ref="K109:R109"/>
    <mergeCell ref="S109:W109"/>
    <mergeCell ref="X109:AA109"/>
    <mergeCell ref="AB109:AE109"/>
    <mergeCell ref="AF109:AG109"/>
    <mergeCell ref="K79:R79"/>
    <mergeCell ref="S79:W79"/>
    <mergeCell ref="X79:AA79"/>
    <mergeCell ref="AB79:AE79"/>
    <mergeCell ref="AF79:AG79"/>
    <mergeCell ref="K49:R49"/>
    <mergeCell ref="S49:W49"/>
    <mergeCell ref="X49:AA49"/>
    <mergeCell ref="AB49:AE49"/>
    <mergeCell ref="AF49:AG49"/>
    <mergeCell ref="S19:W19"/>
    <mergeCell ref="X19:AA19"/>
    <mergeCell ref="AB19:AE19"/>
    <mergeCell ref="AF19:AG19"/>
    <mergeCell ref="K19:R19"/>
    <mergeCell ref="I19:J19"/>
    <mergeCell ref="I140:J140"/>
    <mergeCell ref="I49:J49"/>
    <mergeCell ref="I79:J79"/>
    <mergeCell ref="I109:J109"/>
    <mergeCell ref="AF200:AM200"/>
    <mergeCell ref="AF230:AM230"/>
    <mergeCell ref="I230:J230"/>
    <mergeCell ref="I170:J170"/>
    <mergeCell ref="I200:J200"/>
    <mergeCell ref="K200:R200"/>
    <mergeCell ref="S200:W200"/>
    <mergeCell ref="X200:AA200"/>
    <mergeCell ref="AB200:AE200"/>
    <mergeCell ref="K230:R230"/>
    <mergeCell ref="S230:W230"/>
    <mergeCell ref="X230:AA230"/>
    <mergeCell ref="AB230:AE230"/>
    <mergeCell ref="AF170:AM170"/>
  </mergeCells>
  <conditionalFormatting sqref="I234:I257">
    <cfRule type="colorScale" priority="29">
      <colorScale>
        <cfvo type="min"/>
        <cfvo type="percentile" val="50"/>
        <cfvo type="max"/>
        <color rgb="FFF8696B"/>
        <color rgb="FFFFEB84"/>
        <color rgb="FF63BE7B"/>
      </colorScale>
    </cfRule>
  </conditionalFormatting>
  <conditionalFormatting sqref="I204:I227">
    <cfRule type="colorScale" priority="28">
      <colorScale>
        <cfvo type="min"/>
        <cfvo type="percentile" val="50"/>
        <cfvo type="max"/>
        <color rgb="FFF8696B"/>
        <color rgb="FFFFEB84"/>
        <color rgb="FF63BE7B"/>
      </colorScale>
    </cfRule>
  </conditionalFormatting>
  <conditionalFormatting sqref="I174:I197">
    <cfRule type="colorScale" priority="27">
      <colorScale>
        <cfvo type="min"/>
        <cfvo type="percentile" val="50"/>
        <cfvo type="max"/>
        <color rgb="FFF8696B"/>
        <color rgb="FFFFEB84"/>
        <color rgb="FF63BE7B"/>
      </colorScale>
    </cfRule>
  </conditionalFormatting>
  <conditionalFormatting sqref="I144:I167">
    <cfRule type="colorScale" priority="26">
      <colorScale>
        <cfvo type="min"/>
        <cfvo type="percentile" val="50"/>
        <cfvo type="max"/>
        <color rgb="FFF8696B"/>
        <color rgb="FFFFEB84"/>
        <color rgb="FF63BE7B"/>
      </colorScale>
    </cfRule>
  </conditionalFormatting>
  <conditionalFormatting sqref="I113:I136">
    <cfRule type="colorScale" priority="25">
      <colorScale>
        <cfvo type="min"/>
        <cfvo type="percentile" val="50"/>
        <cfvo type="max"/>
        <color rgb="FFF8696B"/>
        <color rgb="FFFFEB84"/>
        <color rgb="FF63BE7B"/>
      </colorScale>
    </cfRule>
  </conditionalFormatting>
  <conditionalFormatting sqref="I83:I106">
    <cfRule type="colorScale" priority="24">
      <colorScale>
        <cfvo type="min"/>
        <cfvo type="percentile" val="50"/>
        <cfvo type="max"/>
        <color rgb="FFF8696B"/>
        <color rgb="FFFFEB84"/>
        <color rgb="FF63BE7B"/>
      </colorScale>
    </cfRule>
  </conditionalFormatting>
  <conditionalFormatting sqref="I53:I76">
    <cfRule type="colorScale" priority="23">
      <colorScale>
        <cfvo type="min"/>
        <cfvo type="percentile" val="50"/>
        <cfvo type="max"/>
        <color rgb="FFF8696B"/>
        <color rgb="FFFFEB84"/>
        <color rgb="FF63BE7B"/>
      </colorScale>
    </cfRule>
  </conditionalFormatting>
  <conditionalFormatting sqref="I23:I46">
    <cfRule type="colorScale" priority="22">
      <colorScale>
        <cfvo type="min"/>
        <cfvo type="percentile" val="50"/>
        <cfvo type="max"/>
        <color rgb="FFF8696B"/>
        <color rgb="FFFFEB84"/>
        <color rgb="FF63BE7B"/>
      </colorScale>
    </cfRule>
  </conditionalFormatting>
  <conditionalFormatting sqref="J23:J46">
    <cfRule type="colorScale" priority="21">
      <colorScale>
        <cfvo type="min"/>
        <cfvo type="percentile" val="50"/>
        <cfvo type="max"/>
        <color rgb="FFF8696B"/>
        <color rgb="FFFFEB84"/>
        <color rgb="FF63BE7B"/>
      </colorScale>
    </cfRule>
  </conditionalFormatting>
  <conditionalFormatting sqref="J53:J76">
    <cfRule type="colorScale" priority="20">
      <colorScale>
        <cfvo type="min"/>
        <cfvo type="percentile" val="50"/>
        <cfvo type="max"/>
        <color rgb="FFF8696B"/>
        <color rgb="FFFFEB84"/>
        <color rgb="FF63BE7B"/>
      </colorScale>
    </cfRule>
  </conditionalFormatting>
  <conditionalFormatting sqref="J83:J106">
    <cfRule type="colorScale" priority="19">
      <colorScale>
        <cfvo type="min"/>
        <cfvo type="percentile" val="50"/>
        <cfvo type="max"/>
        <color rgb="FFF8696B"/>
        <color rgb="FFFFEB84"/>
        <color rgb="FF63BE7B"/>
      </colorScale>
    </cfRule>
  </conditionalFormatting>
  <conditionalFormatting sqref="J113:J136">
    <cfRule type="colorScale" priority="18">
      <colorScale>
        <cfvo type="min"/>
        <cfvo type="percentile" val="50"/>
        <cfvo type="max"/>
        <color rgb="FFF8696B"/>
        <color rgb="FFFFEB84"/>
        <color rgb="FF63BE7B"/>
      </colorScale>
    </cfRule>
  </conditionalFormatting>
  <conditionalFormatting sqref="J144:J167">
    <cfRule type="colorScale" priority="17">
      <colorScale>
        <cfvo type="min"/>
        <cfvo type="percentile" val="50"/>
        <cfvo type="max"/>
        <color rgb="FFF8696B"/>
        <color rgb="FFFFEB84"/>
        <color rgb="FF63BE7B"/>
      </colorScale>
    </cfRule>
  </conditionalFormatting>
  <conditionalFormatting sqref="J174:J197">
    <cfRule type="colorScale" priority="16">
      <colorScale>
        <cfvo type="min"/>
        <cfvo type="percentile" val="50"/>
        <cfvo type="max"/>
        <color rgb="FFF8696B"/>
        <color rgb="FFFFEB84"/>
        <color rgb="FF63BE7B"/>
      </colorScale>
    </cfRule>
  </conditionalFormatting>
  <conditionalFormatting sqref="J204:J227">
    <cfRule type="colorScale" priority="15">
      <colorScale>
        <cfvo type="min"/>
        <cfvo type="percentile" val="50"/>
        <cfvo type="max"/>
        <color rgb="FFF8696B"/>
        <color rgb="FFFFEB84"/>
        <color rgb="FF63BE7B"/>
      </colorScale>
    </cfRule>
  </conditionalFormatting>
  <conditionalFormatting sqref="J234:J257">
    <cfRule type="colorScale" priority="14">
      <colorScale>
        <cfvo type="min"/>
        <cfvo type="percentile" val="50"/>
        <cfvo type="max"/>
        <color rgb="FFF8696B"/>
        <color rgb="FFFFEB84"/>
        <color rgb="FF63BE7B"/>
      </colorScale>
    </cfRule>
  </conditionalFormatting>
  <conditionalFormatting sqref="AN47:AW49 AS32:AW46">
    <cfRule type="cellIs" dxfId="39" priority="1" operator="greaterThan">
      <formula>260</formula>
    </cfRule>
    <cfRule type="cellIs" dxfId="38" priority="2" operator="greaterThan">
      <formula>255</formula>
    </cfRule>
  </conditionalFormatting>
  <pageMargins left="0.7" right="0.7" top="0.75" bottom="0.75" header="0.3" footer="0.3"/>
  <pageSetup paperSize="9" orientation="portrait" horizontalDpi="4294967292" verticalDpi="4294967292" r:id="rId1"/>
  <legacy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22"/>
  <sheetViews>
    <sheetView topLeftCell="A46" zoomScale="91" zoomScaleNormal="91" workbookViewId="0">
      <selection activeCell="D47" sqref="D47"/>
    </sheetView>
  </sheetViews>
  <sheetFormatPr defaultColWidth="8.875" defaultRowHeight="14.25"/>
  <cols>
    <col min="1" max="1" width="9.125" style="54" customWidth="1"/>
    <col min="2" max="2" width="39.125" style="54" customWidth="1"/>
    <col min="3" max="4" width="11.5" style="54" customWidth="1"/>
    <col min="5" max="5" width="17.625" style="54" customWidth="1"/>
    <col min="6" max="6" width="8.875" style="54"/>
    <col min="7" max="7" width="31.875" style="54" customWidth="1"/>
    <col min="8" max="9" width="8.875" style="54"/>
    <col min="10" max="10" width="18.5" style="54" customWidth="1"/>
    <col min="11" max="11" width="8.875" style="54"/>
    <col min="12" max="12" width="37" style="54" customWidth="1"/>
    <col min="13" max="16384" width="8.875" style="54"/>
  </cols>
  <sheetData>
    <row r="1" spans="1:10" ht="24" customHeight="1">
      <c r="A1" s="52" t="s">
        <v>119</v>
      </c>
      <c r="B1" s="53"/>
      <c r="D1" s="55"/>
      <c r="E1" s="55"/>
      <c r="F1" s="55"/>
      <c r="G1" s="55"/>
      <c r="H1" s="55"/>
      <c r="I1" s="55"/>
      <c r="J1" s="55"/>
    </row>
    <row r="2" spans="1:10" ht="18.600000000000001" customHeight="1">
      <c r="A2" s="56" t="s">
        <v>120</v>
      </c>
      <c r="B2" s="53"/>
      <c r="C2" s="55"/>
      <c r="D2" s="55"/>
      <c r="E2" s="55"/>
      <c r="F2" s="55"/>
      <c r="G2" s="55"/>
      <c r="H2" s="55"/>
      <c r="I2" s="55"/>
      <c r="J2" s="55"/>
    </row>
    <row r="3" spans="1:10" ht="21.6" customHeight="1">
      <c r="A3" s="57" t="s">
        <v>121</v>
      </c>
      <c r="B3" s="53"/>
      <c r="C3" s="55"/>
      <c r="D3" s="55"/>
      <c r="E3" s="55"/>
      <c r="F3" s="55"/>
      <c r="G3" s="55"/>
      <c r="H3" s="55"/>
      <c r="I3" s="55"/>
      <c r="J3" s="55"/>
    </row>
    <row r="4" spans="1:10">
      <c r="A4" s="82" t="s">
        <v>122</v>
      </c>
      <c r="B4" s="68"/>
      <c r="C4" s="55"/>
      <c r="D4" s="55"/>
      <c r="E4" s="55"/>
      <c r="F4" s="55"/>
      <c r="G4" s="55"/>
      <c r="H4" s="55"/>
      <c r="I4" s="55"/>
      <c r="J4" s="55"/>
    </row>
    <row r="5" spans="1:10" ht="15.95" customHeight="1">
      <c r="A5" s="58"/>
      <c r="B5" s="59"/>
      <c r="C5" s="55" t="s">
        <v>123</v>
      </c>
      <c r="D5" s="55" t="s">
        <v>124</v>
      </c>
      <c r="E5" s="55"/>
      <c r="F5" s="55"/>
      <c r="G5" s="55"/>
      <c r="H5" s="55"/>
      <c r="I5" s="55"/>
      <c r="J5" s="55"/>
    </row>
    <row r="6" spans="1:10">
      <c r="A6" s="364" t="s">
        <v>125</v>
      </c>
      <c r="B6" s="312" t="s">
        <v>126</v>
      </c>
      <c r="C6" s="69">
        <f>SUM('Power Flows'!K30:K41)</f>
        <v>13.557600000000001</v>
      </c>
      <c r="D6" s="69">
        <f>SUM('Power Flows'!K151:K162)</f>
        <v>12.183363496236632</v>
      </c>
      <c r="E6" s="313" t="s">
        <v>127</v>
      </c>
      <c r="F6" s="53"/>
    </row>
    <row r="7" spans="1:10">
      <c r="A7" s="364"/>
      <c r="B7" s="312" t="s">
        <v>128</v>
      </c>
      <c r="C7" s="67">
        <f>SUM('Power Flows'!K23:K29,'Power Flows'!K42:K46)</f>
        <v>11.549066666666668</v>
      </c>
      <c r="D7" s="67">
        <f>SUM('Power Flows'!K144:K150,'Power Flows'!K163:K167)</f>
        <v>10.431716604084436</v>
      </c>
      <c r="E7" s="314" t="s">
        <v>127</v>
      </c>
      <c r="F7" s="53"/>
    </row>
    <row r="8" spans="1:10">
      <c r="A8" s="365"/>
      <c r="B8" s="60" t="s">
        <v>129</v>
      </c>
      <c r="C8" s="61">
        <f>Inputs!$B$12*(C6+C7)</f>
        <v>6.0256000000000007</v>
      </c>
      <c r="D8" s="61">
        <f>Inputs!$B$12*(D6+D7)</f>
        <v>5.4276192240770555</v>
      </c>
      <c r="E8" s="62" t="s">
        <v>130</v>
      </c>
      <c r="F8" s="53"/>
    </row>
    <row r="9" spans="1:10">
      <c r="A9" s="371" t="s">
        <v>131</v>
      </c>
      <c r="B9" s="312" t="s">
        <v>126</v>
      </c>
      <c r="C9" s="69">
        <f>SUM('Power Flows'!K60:K71)</f>
        <v>12.030260869565216</v>
      </c>
      <c r="D9" s="69">
        <f>SUM('Power Flows'!K181:K192)</f>
        <v>10.810839759873783</v>
      </c>
      <c r="E9" s="313" t="s">
        <v>127</v>
      </c>
      <c r="F9" s="53"/>
    </row>
    <row r="10" spans="1:10">
      <c r="A10" s="364"/>
      <c r="B10" s="312" t="s">
        <v>128</v>
      </c>
      <c r="C10" s="67">
        <f>SUM('Power Flows'!K72:K76,'Power Flows'!K53:K59)</f>
        <v>10.248000000000003</v>
      </c>
      <c r="D10" s="67">
        <f>SUM('Power Flows'!K174:K180,'Power Flows'!K193:K197)</f>
        <v>9.2565256435143937</v>
      </c>
      <c r="E10" s="314" t="s">
        <v>127</v>
      </c>
      <c r="F10" s="53"/>
    </row>
    <row r="11" spans="1:10">
      <c r="A11" s="365"/>
      <c r="B11" s="60" t="s">
        <v>129</v>
      </c>
      <c r="C11" s="61">
        <f>Inputs!$B$12*(C9+C10)</f>
        <v>5.3467826086956523</v>
      </c>
      <c r="D11" s="61">
        <f>Inputs!$B$12*(D9+D10)</f>
        <v>4.8161676968131619</v>
      </c>
      <c r="E11" s="62" t="s">
        <v>130</v>
      </c>
      <c r="F11" s="53"/>
    </row>
    <row r="12" spans="1:10">
      <c r="A12" s="371" t="s">
        <v>132</v>
      </c>
      <c r="B12" s="312" t="s">
        <v>126</v>
      </c>
      <c r="C12" s="69">
        <f>SUM('Power Flows'!K90:K101)</f>
        <v>11.586521739130436</v>
      </c>
      <c r="D12" s="69">
        <f>SUM('Power Flows'!K211:K222)</f>
        <v>10.412079276927621</v>
      </c>
      <c r="E12" s="313" t="s">
        <v>127</v>
      </c>
      <c r="F12" s="53"/>
    </row>
    <row r="13" spans="1:10">
      <c r="A13" s="364"/>
      <c r="B13" s="312" t="s">
        <v>128</v>
      </c>
      <c r="C13" s="67">
        <f>SUM('Power Flows'!K83:K89,'Power Flows'!K102:K106)</f>
        <v>9.8699999999999992</v>
      </c>
      <c r="D13" s="67">
        <f>SUM('Power Flows'!K204:K210,'Power Flows'!K223:K227)</f>
        <v>8.9150964189585338</v>
      </c>
      <c r="E13" s="314" t="s">
        <v>127</v>
      </c>
      <c r="F13" s="53"/>
    </row>
    <row r="14" spans="1:10">
      <c r="A14" s="365"/>
      <c r="B14" s="60" t="s">
        <v>129</v>
      </c>
      <c r="C14" s="61">
        <f>Inputs!$B$12*(C12+C13)</f>
        <v>5.1495652173913049</v>
      </c>
      <c r="D14" s="61">
        <f>Inputs!$B$12*(D12+D13)</f>
        <v>4.6385221670126766</v>
      </c>
      <c r="E14" s="62" t="s">
        <v>130</v>
      </c>
      <c r="F14" s="53"/>
    </row>
    <row r="15" spans="1:10">
      <c r="A15" s="371" t="s">
        <v>133</v>
      </c>
      <c r="B15" s="312" t="s">
        <v>126</v>
      </c>
      <c r="C15" s="69">
        <f>SUM('Power Flows'!K120:K131)</f>
        <v>12.561230769230768</v>
      </c>
      <c r="D15" s="69">
        <f>SUM('Power Flows'!K241:K252)</f>
        <v>11.287989055706806</v>
      </c>
      <c r="E15" s="313" t="s">
        <v>127</v>
      </c>
      <c r="F15" s="53"/>
    </row>
    <row r="16" spans="1:10">
      <c r="A16" s="364"/>
      <c r="B16" s="312" t="s">
        <v>128</v>
      </c>
      <c r="C16" s="67">
        <f>SUM('Power Flows'!K113:K119,'Power Flows'!K132:K136)</f>
        <v>10.700307692307693</v>
      </c>
      <c r="D16" s="67">
        <f>SUM('Power Flows'!K234:K240,'Power Flows'!K253:K257)</f>
        <v>9.6650734335812345</v>
      </c>
      <c r="E16" s="314" t="s">
        <v>127</v>
      </c>
      <c r="F16" s="53"/>
    </row>
    <row r="17" spans="1:6">
      <c r="A17" s="365"/>
      <c r="B17" s="60" t="s">
        <v>129</v>
      </c>
      <c r="C17" s="61">
        <f>Inputs!$B$12*(C15+C16)</f>
        <v>5.5827692307692303</v>
      </c>
      <c r="D17" s="61">
        <f>Inputs!$B$12*(D15+D16)</f>
        <v>5.0287349974291295</v>
      </c>
      <c r="E17" s="62" t="s">
        <v>130</v>
      </c>
      <c r="F17" s="53"/>
    </row>
    <row r="18" spans="1:6">
      <c r="A18" s="366" t="s">
        <v>14</v>
      </c>
      <c r="B18" s="315" t="s">
        <v>126</v>
      </c>
      <c r="C18" s="100">
        <f>C6*'Power Flows'!$C$18+C9*'Power Flows'!$C$48+C12*'Power Flows'!$C$78+C15*'Power Flows'!$C$108</f>
        <v>4536</v>
      </c>
      <c r="D18" s="100">
        <f>D6*'Power Flows'!$C$18+D9*'Power Flows'!$C$48+D12*'Power Flows'!$C$78+D15*'Power Flows'!$C$108</f>
        <v>4076.2182701163456</v>
      </c>
      <c r="E18" s="316" t="s">
        <v>127</v>
      </c>
      <c r="F18" s="53"/>
    </row>
    <row r="19" spans="1:6">
      <c r="A19" s="367"/>
      <c r="B19" s="315" t="s">
        <v>128</v>
      </c>
      <c r="C19" s="100">
        <f>C7*'Power Flows'!$C$18+C10*'Power Flows'!$C$48+C13*'Power Flows'!$C$78+C16*'Power Flows'!$C$108</f>
        <v>3864.0000000000005</v>
      </c>
      <c r="D19" s="100">
        <f>D7*'Power Flows'!$C$18+D10*'Power Flows'!$C$48+D13*'Power Flows'!$C$78+D16*'Power Flows'!$C$108</f>
        <v>3490.1654065710009</v>
      </c>
      <c r="E19" s="315" t="s">
        <v>127</v>
      </c>
      <c r="F19" s="53"/>
    </row>
    <row r="20" spans="1:6" ht="16.5" customHeight="1">
      <c r="A20" s="368"/>
      <c r="B20" s="101" t="s">
        <v>129</v>
      </c>
      <c r="C20" s="102">
        <f>Inputs!$B$12*(C18+C19)</f>
        <v>2016</v>
      </c>
      <c r="D20" s="102">
        <f>Inputs!$B$12*(D18+D19)</f>
        <v>1815.932082404963</v>
      </c>
      <c r="E20" s="101" t="s">
        <v>134</v>
      </c>
      <c r="F20" s="53"/>
    </row>
    <row r="21" spans="1:6">
      <c r="A21" s="53"/>
      <c r="B21" s="53"/>
      <c r="C21" s="53"/>
      <c r="D21" s="53"/>
      <c r="E21" s="53"/>
      <c r="F21" s="53"/>
    </row>
    <row r="22" spans="1:6">
      <c r="A22" s="65" t="s">
        <v>135</v>
      </c>
      <c r="B22" s="59"/>
      <c r="C22" s="62"/>
      <c r="D22" s="62"/>
      <c r="E22" s="53"/>
    </row>
    <row r="23" spans="1:6" ht="15" customHeight="1">
      <c r="A23" s="369" t="s">
        <v>136</v>
      </c>
      <c r="B23" s="54" t="s">
        <v>137</v>
      </c>
      <c r="C23" s="66">
        <f>'Power Flows'!W22</f>
        <v>4.5359835252945713</v>
      </c>
      <c r="D23" s="54" t="s">
        <v>127</v>
      </c>
      <c r="E23" s="53"/>
    </row>
    <row r="24" spans="1:6">
      <c r="A24" s="369"/>
      <c r="B24" s="54" t="s">
        <v>138</v>
      </c>
      <c r="C24" s="66">
        <f>'Power Flows'!$T$22-C23</f>
        <v>2.3865909164849688</v>
      </c>
      <c r="D24" s="54" t="s">
        <v>127</v>
      </c>
      <c r="E24" s="53"/>
    </row>
    <row r="25" spans="1:6">
      <c r="A25" s="369"/>
      <c r="B25" s="317" t="s">
        <v>126</v>
      </c>
      <c r="C25" s="66">
        <f>SUM('Power Flows'!U30:U41)</f>
        <v>9.0216164747054286</v>
      </c>
      <c r="D25" s="317" t="s">
        <v>127</v>
      </c>
      <c r="E25" s="85"/>
    </row>
    <row r="26" spans="1:6">
      <c r="A26" s="369"/>
      <c r="B26" s="317" t="s">
        <v>128</v>
      </c>
      <c r="C26" s="66">
        <f>SUM('Power Flows'!U42:U46,'Power Flows'!U23:U29)</f>
        <v>11.549066666666668</v>
      </c>
      <c r="D26" s="54" t="s">
        <v>127</v>
      </c>
      <c r="E26" s="53"/>
    </row>
    <row r="27" spans="1:6">
      <c r="A27" s="369"/>
      <c r="B27" s="64" t="s">
        <v>139</v>
      </c>
      <c r="C27" s="67">
        <f>C23*Inputs!$B$12</f>
        <v>1.088636046070697</v>
      </c>
      <c r="D27" s="64" t="s">
        <v>130</v>
      </c>
      <c r="E27" s="53"/>
    </row>
    <row r="28" spans="1:6">
      <c r="A28" s="369"/>
      <c r="B28" s="62" t="s">
        <v>140</v>
      </c>
      <c r="C28" s="61">
        <f>C24*Inputs!$B$23</f>
        <v>0.28639090997819622</v>
      </c>
      <c r="D28" s="62" t="s">
        <v>130</v>
      </c>
      <c r="E28" s="53"/>
    </row>
    <row r="29" spans="1:6">
      <c r="A29" s="369"/>
      <c r="B29" s="64" t="s">
        <v>141</v>
      </c>
      <c r="C29" s="67">
        <f>SUM(C27:C28)</f>
        <v>1.3750269560488932</v>
      </c>
      <c r="D29" s="64" t="s">
        <v>130</v>
      </c>
      <c r="E29" s="53"/>
    </row>
    <row r="30" spans="1:6">
      <c r="A30" s="370"/>
      <c r="B30" s="78" t="s">
        <v>142</v>
      </c>
      <c r="C30" s="79">
        <f>$C$8-C29</f>
        <v>4.6505730439511073</v>
      </c>
      <c r="D30" s="78" t="s">
        <v>130</v>
      </c>
      <c r="E30" s="53"/>
    </row>
    <row r="31" spans="1:6" ht="15" customHeight="1">
      <c r="A31" s="369" t="s">
        <v>143</v>
      </c>
      <c r="B31" s="54" t="s">
        <v>137</v>
      </c>
      <c r="C31" s="66">
        <f>'Power Flows'!T52</f>
        <v>4.8794271313612274</v>
      </c>
      <c r="D31" s="54" t="s">
        <v>127</v>
      </c>
      <c r="E31" s="53"/>
    </row>
    <row r="32" spans="1:6">
      <c r="A32" s="369"/>
      <c r="B32" s="54" t="s">
        <v>138</v>
      </c>
      <c r="C32" s="66">
        <f>'Power Flows'!$Q$52-C31</f>
        <v>3.7268260139720777</v>
      </c>
      <c r="D32" s="54" t="s">
        <v>127</v>
      </c>
      <c r="E32" s="53"/>
    </row>
    <row r="33" spans="1:5">
      <c r="A33" s="369"/>
      <c r="B33" s="317" t="s">
        <v>126</v>
      </c>
      <c r="C33" s="66">
        <f>SUM('Power Flows'!R60:R71)</f>
        <v>6.3302959012905591</v>
      </c>
      <c r="D33" s="54" t="s">
        <v>127</v>
      </c>
      <c r="E33" s="53"/>
    </row>
    <row r="34" spans="1:5">
      <c r="A34" s="369"/>
      <c r="B34" s="317" t="s">
        <v>128</v>
      </c>
      <c r="C34" s="66">
        <f>SUM('Power Flows'!R53:R59,'Power Flows'!R72:R76)</f>
        <v>0</v>
      </c>
      <c r="D34" s="54" t="s">
        <v>127</v>
      </c>
      <c r="E34" s="53"/>
    </row>
    <row r="35" spans="1:5">
      <c r="A35" s="369"/>
      <c r="B35" s="64" t="s">
        <v>139</v>
      </c>
      <c r="C35" s="67">
        <f>C31*Inputs!$B$12</f>
        <v>1.1710625115266946</v>
      </c>
      <c r="D35" s="64" t="s">
        <v>130</v>
      </c>
      <c r="E35" s="53"/>
    </row>
    <row r="36" spans="1:5">
      <c r="A36" s="369"/>
      <c r="B36" s="62" t="s">
        <v>140</v>
      </c>
      <c r="C36" s="61">
        <f>C32*Inputs!$B$23</f>
        <v>0.44721912167664929</v>
      </c>
      <c r="D36" s="62" t="s">
        <v>130</v>
      </c>
      <c r="E36" s="53"/>
    </row>
    <row r="37" spans="1:5">
      <c r="A37" s="369"/>
      <c r="B37" s="64" t="s">
        <v>141</v>
      </c>
      <c r="C37" s="67">
        <f>SUM(C35:C36)</f>
        <v>1.6182816332033438</v>
      </c>
      <c r="D37" s="64" t="s">
        <v>130</v>
      </c>
      <c r="E37" s="53"/>
    </row>
    <row r="38" spans="1:5">
      <c r="A38" s="370"/>
      <c r="B38" s="78" t="s">
        <v>142</v>
      </c>
      <c r="C38" s="79">
        <f>$C$11-C37</f>
        <v>3.7285009754923086</v>
      </c>
      <c r="D38" s="78" t="s">
        <v>130</v>
      </c>
      <c r="E38" s="53"/>
    </row>
    <row r="39" spans="1:5" ht="15" customHeight="1">
      <c r="A39" s="369" t="s">
        <v>144</v>
      </c>
      <c r="B39" s="54" t="s">
        <v>137</v>
      </c>
      <c r="C39" s="66">
        <f>'Power Flows'!T82</f>
        <v>5.7364921763907448</v>
      </c>
      <c r="D39" s="54" t="s">
        <v>127</v>
      </c>
      <c r="E39" s="53"/>
    </row>
    <row r="40" spans="1:5">
      <c r="A40" s="369"/>
      <c r="B40" s="54" t="s">
        <v>138</v>
      </c>
      <c r="C40" s="66">
        <f>'Power Flows'!$Q$82-C39</f>
        <v>5.4231132527362425</v>
      </c>
      <c r="D40" s="54" t="s">
        <v>127</v>
      </c>
      <c r="E40" s="53"/>
    </row>
    <row r="41" spans="1:5">
      <c r="A41" s="369"/>
      <c r="B41" s="317" t="s">
        <v>126</v>
      </c>
      <c r="C41" s="66">
        <f>SUM('Power Flows'!R90:R101)</f>
        <v>6.4005290787801101</v>
      </c>
      <c r="D41" s="54" t="s">
        <v>127</v>
      </c>
      <c r="E41" s="53"/>
    </row>
    <row r="42" spans="1:5">
      <c r="A42" s="369"/>
      <c r="B42" s="317" t="s">
        <v>128</v>
      </c>
      <c r="C42" s="66">
        <f>SUM('Power Flows'!R83:R89,'Power Flows'!R102:R106)</f>
        <v>0</v>
      </c>
      <c r="D42" s="54" t="s">
        <v>127</v>
      </c>
      <c r="E42" s="53"/>
    </row>
    <row r="43" spans="1:5">
      <c r="A43" s="369"/>
      <c r="B43" s="64" t="s">
        <v>139</v>
      </c>
      <c r="C43" s="67">
        <f>C39*Inputs!$B$12</f>
        <v>1.3767581223337788</v>
      </c>
      <c r="D43" s="64" t="s">
        <v>130</v>
      </c>
      <c r="E43" s="53"/>
    </row>
    <row r="44" spans="1:5">
      <c r="A44" s="369"/>
      <c r="B44" s="62" t="s">
        <v>140</v>
      </c>
      <c r="C44" s="61">
        <f>C40*Inputs!$B$23</f>
        <v>0.65077359032834903</v>
      </c>
      <c r="D44" s="62" t="s">
        <v>130</v>
      </c>
      <c r="E44" s="53"/>
    </row>
    <row r="45" spans="1:5">
      <c r="A45" s="369"/>
      <c r="B45" s="64" t="s">
        <v>141</v>
      </c>
      <c r="C45" s="67">
        <f>SUM(C43:C44)</f>
        <v>2.0275317126621277</v>
      </c>
      <c r="D45" s="64" t="s">
        <v>130</v>
      </c>
      <c r="E45" s="53"/>
    </row>
    <row r="46" spans="1:5">
      <c r="A46" s="370"/>
      <c r="B46" s="78" t="s">
        <v>142</v>
      </c>
      <c r="C46" s="79">
        <f>$C$14-C45</f>
        <v>3.1220335047291772</v>
      </c>
      <c r="D46" s="78" t="s">
        <v>130</v>
      </c>
      <c r="E46" s="53"/>
    </row>
    <row r="47" spans="1:5" ht="15" customHeight="1">
      <c r="A47" s="369" t="s">
        <v>145</v>
      </c>
      <c r="B47" s="54" t="s">
        <v>137</v>
      </c>
      <c r="C47" s="66">
        <f>'Power Flows'!T112</f>
        <v>8.2906701608599533</v>
      </c>
      <c r="D47" s="54" t="s">
        <v>127</v>
      </c>
      <c r="E47" s="53"/>
    </row>
    <row r="48" spans="1:5">
      <c r="A48" s="369"/>
      <c r="B48" s="54" t="s">
        <v>138</v>
      </c>
      <c r="C48" s="66">
        <f>'Power Flows'!$Q$112-C47</f>
        <v>9.5424329000533668</v>
      </c>
      <c r="D48" s="54" t="s">
        <v>127</v>
      </c>
      <c r="E48" s="53"/>
    </row>
    <row r="49" spans="1:8">
      <c r="A49" s="369"/>
      <c r="B49" s="317" t="s">
        <v>126</v>
      </c>
      <c r="C49" s="66">
        <f>SUM('Power Flows'!R120:R131)</f>
        <v>7.5456961614698486</v>
      </c>
      <c r="D49" s="322" t="s">
        <v>127</v>
      </c>
      <c r="E49" s="53"/>
    </row>
    <row r="50" spans="1:8">
      <c r="A50" s="369"/>
      <c r="B50" s="317" t="s">
        <v>128</v>
      </c>
      <c r="C50" s="66">
        <f>SUM('Power Flows'!R113:R119,'Power Flows'!R132:R136)</f>
        <v>0</v>
      </c>
      <c r="D50" s="54" t="s">
        <v>127</v>
      </c>
      <c r="E50" s="53"/>
    </row>
    <row r="51" spans="1:8">
      <c r="A51" s="369"/>
      <c r="B51" s="64" t="s">
        <v>139</v>
      </c>
      <c r="C51" s="67">
        <f>C47*Inputs!$B$12</f>
        <v>1.9897608386063887</v>
      </c>
      <c r="D51" s="64" t="s">
        <v>130</v>
      </c>
      <c r="E51" s="53"/>
    </row>
    <row r="52" spans="1:8">
      <c r="A52" s="369"/>
      <c r="B52" s="62" t="s">
        <v>140</v>
      </c>
      <c r="C52" s="61">
        <f>C48*Inputs!$B$23</f>
        <v>1.1450919480064039</v>
      </c>
      <c r="D52" s="62" t="s">
        <v>130</v>
      </c>
      <c r="E52" s="53"/>
    </row>
    <row r="53" spans="1:8">
      <c r="A53" s="369"/>
      <c r="B53" s="64" t="s">
        <v>141</v>
      </c>
      <c r="C53" s="67">
        <f>SUM(C51:C52)</f>
        <v>3.1348527866127927</v>
      </c>
      <c r="D53" s="64" t="s">
        <v>130</v>
      </c>
      <c r="E53" s="53"/>
    </row>
    <row r="54" spans="1:8">
      <c r="A54" s="370"/>
      <c r="B54" s="70" t="s">
        <v>142</v>
      </c>
      <c r="C54" s="79">
        <f>$C$17-C53</f>
        <v>2.4479164441564376</v>
      </c>
      <c r="D54" s="70" t="s">
        <v>130</v>
      </c>
      <c r="E54" s="53"/>
    </row>
    <row r="55" spans="1:8" s="77" customFormat="1" ht="113.1" customHeight="1">
      <c r="A55" s="80" t="s">
        <v>146</v>
      </c>
      <c r="B55" s="75" t="s">
        <v>147</v>
      </c>
      <c r="C55" s="81">
        <f>C29*'Power Flows'!$C$18+C37*'Power Flows'!$C$48+C45*'Power Flows'!$C$78+C53*'Power Flows'!$C$108</f>
        <v>744.4388574457879</v>
      </c>
      <c r="D55" s="75" t="s">
        <v>134</v>
      </c>
      <c r="E55" s="76"/>
    </row>
    <row r="56" spans="1:8">
      <c r="A56" s="53"/>
      <c r="B56" s="71"/>
      <c r="C56" s="71"/>
      <c r="D56" s="71"/>
      <c r="E56" s="53"/>
      <c r="F56" s="53"/>
    </row>
    <row r="57" spans="1:8">
      <c r="A57" s="53"/>
      <c r="B57" s="53"/>
      <c r="C57" s="53"/>
      <c r="D57" s="53"/>
      <c r="E57" s="53"/>
      <c r="F57" s="70"/>
      <c r="G57" s="72"/>
      <c r="H57" s="63"/>
    </row>
    <row r="58" spans="1:8">
      <c r="A58" s="53"/>
      <c r="B58" s="53"/>
      <c r="C58" s="53"/>
      <c r="D58" s="53"/>
      <c r="E58" s="53"/>
      <c r="F58" s="53"/>
    </row>
    <row r="59" spans="1:8">
      <c r="A59" s="53"/>
      <c r="E59" s="53"/>
      <c r="F59" s="53"/>
    </row>
    <row r="60" spans="1:8">
      <c r="A60" s="53"/>
      <c r="B60" s="53"/>
      <c r="C60" s="53"/>
      <c r="D60" s="53"/>
      <c r="E60" s="53"/>
      <c r="F60" s="53"/>
    </row>
    <row r="61" spans="1:8">
      <c r="A61" s="53"/>
      <c r="B61" s="53"/>
      <c r="C61" s="53"/>
      <c r="D61" s="53"/>
      <c r="E61" s="53"/>
      <c r="F61" s="53"/>
    </row>
    <row r="62" spans="1:8">
      <c r="A62" s="53"/>
      <c r="B62" s="53"/>
      <c r="C62" s="53"/>
      <c r="D62" s="53"/>
      <c r="E62" s="53"/>
      <c r="F62" s="53"/>
    </row>
    <row r="63" spans="1:8">
      <c r="A63" s="53"/>
      <c r="B63" s="53"/>
      <c r="C63" s="53"/>
      <c r="D63" s="53"/>
      <c r="E63" s="53"/>
      <c r="F63" s="53"/>
    </row>
    <row r="64" spans="1:8">
      <c r="A64" s="53"/>
      <c r="B64" s="53"/>
      <c r="C64" s="53"/>
      <c r="D64" s="53"/>
      <c r="E64" s="53"/>
      <c r="F64" s="53"/>
    </row>
    <row r="65" spans="1:6">
      <c r="A65" s="53"/>
      <c r="B65" s="53"/>
      <c r="C65" s="53"/>
      <c r="D65" s="53"/>
      <c r="E65" s="53"/>
      <c r="F65" s="53"/>
    </row>
    <row r="66" spans="1:6">
      <c r="A66" s="53"/>
      <c r="B66" s="53"/>
      <c r="C66" s="53"/>
      <c r="D66" s="53"/>
      <c r="E66" s="53"/>
      <c r="F66" s="53"/>
    </row>
    <row r="67" spans="1:6">
      <c r="A67" s="53"/>
      <c r="B67" s="53"/>
      <c r="C67" s="53"/>
      <c r="D67" s="53"/>
      <c r="E67" s="53"/>
      <c r="F67" s="53"/>
    </row>
    <row r="68" spans="1:6">
      <c r="A68" s="53"/>
      <c r="B68" s="53"/>
      <c r="C68" s="53"/>
      <c r="D68" s="53"/>
      <c r="E68" s="53"/>
      <c r="F68" s="53"/>
    </row>
    <row r="69" spans="1:6">
      <c r="A69" s="53"/>
      <c r="B69" s="53"/>
      <c r="C69" s="53"/>
      <c r="D69" s="53"/>
      <c r="E69" s="53"/>
      <c r="F69" s="53"/>
    </row>
    <row r="70" spans="1:6">
      <c r="A70" s="53"/>
      <c r="B70" s="53"/>
      <c r="C70" s="53"/>
      <c r="D70" s="53"/>
      <c r="E70" s="53"/>
      <c r="F70" s="53"/>
    </row>
    <row r="71" spans="1:6">
      <c r="A71" s="53"/>
      <c r="B71" s="53"/>
      <c r="C71" s="53"/>
      <c r="D71" s="53"/>
      <c r="E71" s="53"/>
      <c r="F71" s="53"/>
    </row>
    <row r="72" spans="1:6">
      <c r="A72" s="53"/>
      <c r="B72" s="53"/>
      <c r="C72" s="53"/>
      <c r="D72" s="53"/>
      <c r="E72" s="53"/>
      <c r="F72" s="53"/>
    </row>
    <row r="73" spans="1:6">
      <c r="A73" s="53"/>
      <c r="B73" s="53"/>
      <c r="C73" s="53"/>
      <c r="D73" s="53"/>
      <c r="E73" s="53"/>
      <c r="F73" s="53"/>
    </row>
    <row r="74" spans="1:6">
      <c r="A74" s="53"/>
      <c r="B74" s="53"/>
      <c r="C74" s="53"/>
      <c r="D74" s="53"/>
      <c r="E74" s="53"/>
      <c r="F74" s="53"/>
    </row>
    <row r="75" spans="1:6">
      <c r="A75" s="53"/>
      <c r="B75" s="53"/>
      <c r="C75" s="53"/>
      <c r="D75" s="53"/>
      <c r="E75" s="53"/>
      <c r="F75" s="53"/>
    </row>
    <row r="76" spans="1:6">
      <c r="A76" s="53"/>
      <c r="B76" s="53"/>
      <c r="C76" s="53"/>
      <c r="D76" s="53"/>
      <c r="E76" s="53"/>
      <c r="F76" s="53"/>
    </row>
    <row r="77" spans="1:6">
      <c r="A77" s="54" t="s">
        <v>148</v>
      </c>
      <c r="B77" s="53"/>
      <c r="C77" s="53"/>
      <c r="D77" s="53"/>
      <c r="E77" s="53"/>
      <c r="F77" s="53"/>
    </row>
    <row r="78" spans="1:6">
      <c r="A78" s="73" t="s">
        <v>149</v>
      </c>
      <c r="C78" s="53"/>
      <c r="D78" s="53"/>
      <c r="E78" s="53"/>
      <c r="F78" s="53"/>
    </row>
    <row r="79" spans="1:6" ht="15.75">
      <c r="A79" s="54" t="s">
        <v>150</v>
      </c>
      <c r="B79" s="74">
        <f>C25/$C$6</f>
        <v>0.66542872445753143</v>
      </c>
      <c r="C79" s="53"/>
      <c r="D79" s="53"/>
      <c r="E79" s="53"/>
      <c r="F79" s="53"/>
    </row>
    <row r="80" spans="1:6" ht="15.75">
      <c r="A80" s="54" t="s">
        <v>56</v>
      </c>
      <c r="B80" s="74">
        <f>C23/$C$6</f>
        <v>0.33457127554246852</v>
      </c>
      <c r="C80" s="53"/>
      <c r="D80" s="53"/>
      <c r="E80" s="53"/>
      <c r="F80" s="53"/>
    </row>
    <row r="81" spans="1:6">
      <c r="A81" s="53"/>
      <c r="B81" s="53"/>
      <c r="C81" s="53"/>
      <c r="D81" s="53"/>
      <c r="E81" s="53"/>
      <c r="F81" s="53"/>
    </row>
    <row r="82" spans="1:6">
      <c r="A82" s="65" t="s">
        <v>151</v>
      </c>
      <c r="B82" s="59"/>
      <c r="C82" s="62"/>
      <c r="D82" s="62"/>
      <c r="E82" s="53"/>
    </row>
    <row r="83" spans="1:6" ht="15" customHeight="1">
      <c r="A83" s="369" t="s">
        <v>136</v>
      </c>
      <c r="B83" s="54" t="s">
        <v>137</v>
      </c>
      <c r="C83" s="66">
        <f>'Power Flows'!W143</f>
        <v>7.8510303663360848</v>
      </c>
      <c r="D83" s="54" t="s">
        <v>127</v>
      </c>
      <c r="E83" s="53"/>
    </row>
    <row r="84" spans="1:6">
      <c r="A84" s="369"/>
      <c r="B84" s="54" t="s">
        <v>138</v>
      </c>
      <c r="C84" s="66">
        <f>'Power Flows'!$T$143-C83</f>
        <v>25.768279181070589</v>
      </c>
      <c r="D84" s="54" t="s">
        <v>127</v>
      </c>
      <c r="E84" s="53"/>
    </row>
    <row r="85" spans="1:6">
      <c r="A85" s="369"/>
      <c r="B85" s="317" t="s">
        <v>126</v>
      </c>
      <c r="C85" s="66">
        <f>SUM('Power Flows'!U151:U162)</f>
        <v>4.3323331299005492</v>
      </c>
      <c r="D85" s="54" t="s">
        <v>127</v>
      </c>
      <c r="E85" s="53"/>
    </row>
    <row r="86" spans="1:6">
      <c r="A86" s="369"/>
      <c r="B86" s="317" t="s">
        <v>128</v>
      </c>
      <c r="C86" s="66">
        <f>SUM('Power Flows'!U144:U150,'Power Flows'!U163:U167)</f>
        <v>10.431716604084436</v>
      </c>
      <c r="D86" s="54" t="s">
        <v>127</v>
      </c>
      <c r="E86" s="85"/>
    </row>
    <row r="87" spans="1:6">
      <c r="A87" s="369"/>
      <c r="B87" s="64" t="s">
        <v>139</v>
      </c>
      <c r="C87" s="67">
        <f>(C6-C85+C7-C86)*Inputs!$B$12</f>
        <v>2.4822280638436047</v>
      </c>
      <c r="D87" s="64" t="s">
        <v>130</v>
      </c>
      <c r="E87" s="53"/>
    </row>
    <row r="88" spans="1:6">
      <c r="A88" s="369"/>
      <c r="B88" s="62" t="s">
        <v>140</v>
      </c>
      <c r="C88" s="61">
        <f>C84*Inputs!$B$23</f>
        <v>3.0921935017284707</v>
      </c>
      <c r="D88" s="62" t="s">
        <v>130</v>
      </c>
      <c r="E88" s="53"/>
    </row>
    <row r="89" spans="1:6">
      <c r="A89" s="369"/>
      <c r="B89" s="64" t="s">
        <v>141</v>
      </c>
      <c r="C89" s="67">
        <f>SUM(C87:C88)</f>
        <v>5.5744215655720755</v>
      </c>
      <c r="D89" s="64" t="s">
        <v>130</v>
      </c>
      <c r="E89" s="53"/>
    </row>
    <row r="90" spans="1:6">
      <c r="A90" s="370"/>
      <c r="B90" s="78" t="s">
        <v>142</v>
      </c>
      <c r="C90" s="79">
        <f>$D$8-C89</f>
        <v>-0.14680234149501992</v>
      </c>
      <c r="D90" s="78" t="s">
        <v>130</v>
      </c>
      <c r="E90" s="53"/>
    </row>
    <row r="91" spans="1:6" ht="15" customHeight="1">
      <c r="A91" s="369" t="s">
        <v>143</v>
      </c>
      <c r="B91" s="54" t="s">
        <v>137</v>
      </c>
      <c r="C91" s="66">
        <f>'Power Flows'!T173</f>
        <v>21.718518388848196</v>
      </c>
      <c r="D91" s="54" t="s">
        <v>127</v>
      </c>
      <c r="E91" s="53"/>
    </row>
    <row r="92" spans="1:6">
      <c r="A92" s="369"/>
      <c r="B92" s="54" t="s">
        <v>138</v>
      </c>
      <c r="C92" s="66">
        <f>'Power Flows'!$Q$173-C91</f>
        <v>-6.2769300370116543</v>
      </c>
      <c r="D92" s="54" t="s">
        <v>127</v>
      </c>
      <c r="E92" s="53"/>
    </row>
    <row r="93" spans="1:6">
      <c r="A93" s="369"/>
      <c r="B93" s="317" t="s">
        <v>126</v>
      </c>
      <c r="C93" s="66">
        <f>SUM('Power Flows'!R181:R192)</f>
        <v>6.2769300370116525</v>
      </c>
      <c r="D93" s="54" t="s">
        <v>127</v>
      </c>
      <c r="E93" s="53"/>
    </row>
    <row r="94" spans="1:6">
      <c r="A94" s="369"/>
      <c r="B94" s="317" t="s">
        <v>128</v>
      </c>
      <c r="C94" s="66">
        <f>SUM('Power Flows'!R174:R180,'Power Flows'!R193:R197)</f>
        <v>0</v>
      </c>
      <c r="D94" s="54" t="s">
        <v>127</v>
      </c>
      <c r="E94" s="53"/>
    </row>
    <row r="95" spans="1:6">
      <c r="A95" s="369"/>
      <c r="B95" s="64" t="s">
        <v>139</v>
      </c>
      <c r="C95" s="67">
        <f>(C9-C93+C10-C94)*Inputs!$B$12</f>
        <v>3.8403193998128557</v>
      </c>
      <c r="D95" s="64" t="s">
        <v>130</v>
      </c>
      <c r="E95" s="53"/>
    </row>
    <row r="96" spans="1:6">
      <c r="A96" s="369"/>
      <c r="B96" s="62" t="s">
        <v>140</v>
      </c>
      <c r="C96" s="61">
        <f>C92*Inputs!$B$23</f>
        <v>-0.75323160444139847</v>
      </c>
      <c r="D96" s="62" t="s">
        <v>130</v>
      </c>
      <c r="E96" s="53"/>
    </row>
    <row r="97" spans="1:5">
      <c r="A97" s="369"/>
      <c r="B97" s="64" t="s">
        <v>141</v>
      </c>
      <c r="C97" s="67">
        <f>SUM(C95:C96)</f>
        <v>3.0870877953714571</v>
      </c>
      <c r="D97" s="64" t="s">
        <v>130</v>
      </c>
      <c r="E97" s="53"/>
    </row>
    <row r="98" spans="1:5">
      <c r="A98" s="370"/>
      <c r="B98" s="78" t="s">
        <v>142</v>
      </c>
      <c r="C98" s="79">
        <f>$D$11-C97</f>
        <v>1.7290799014417049</v>
      </c>
      <c r="D98" s="78" t="s">
        <v>130</v>
      </c>
      <c r="E98" s="53"/>
    </row>
    <row r="99" spans="1:5" ht="15" customHeight="1">
      <c r="A99" s="369" t="s">
        <v>144</v>
      </c>
      <c r="B99" s="54" t="s">
        <v>137</v>
      </c>
      <c r="C99" s="66">
        <f>'Power Flows'!T203</f>
        <v>25.533347966130908</v>
      </c>
      <c r="D99" s="54" t="s">
        <v>127</v>
      </c>
      <c r="E99" s="53"/>
    </row>
    <row r="100" spans="1:5">
      <c r="A100" s="369"/>
      <c r="B100" s="54" t="s">
        <v>138</v>
      </c>
      <c r="C100" s="66">
        <f>'Power Flows'!$Q$203-C99</f>
        <v>-6.4377573389264349</v>
      </c>
      <c r="D100" s="54" t="s">
        <v>127</v>
      </c>
      <c r="E100" s="53"/>
    </row>
    <row r="101" spans="1:5">
      <c r="A101" s="369"/>
      <c r="B101" s="317" t="s">
        <v>126</v>
      </c>
      <c r="C101" s="66">
        <f>SUM('Power Flows'!R211:R222)</f>
        <v>6.4377573389264375</v>
      </c>
      <c r="D101" s="54" t="s">
        <v>127</v>
      </c>
      <c r="E101" s="53"/>
    </row>
    <row r="102" spans="1:5">
      <c r="A102" s="369"/>
      <c r="B102" s="317" t="s">
        <v>128</v>
      </c>
      <c r="C102" s="66">
        <f>SUM('Power Flows'!R204:R210,'Power Flows'!R223:R227)</f>
        <v>0</v>
      </c>
      <c r="D102" s="54" t="s">
        <v>127</v>
      </c>
      <c r="E102" s="53"/>
    </row>
    <row r="103" spans="1:5">
      <c r="A103" s="369"/>
      <c r="B103" s="64" t="s">
        <v>139</v>
      </c>
      <c r="C103" s="67">
        <f>(C12-C101+C13-C102)*Inputs!$B$12</f>
        <v>3.6045034560489597</v>
      </c>
      <c r="D103" s="64" t="s">
        <v>130</v>
      </c>
      <c r="E103" s="53"/>
    </row>
    <row r="104" spans="1:5">
      <c r="A104" s="369"/>
      <c r="B104" s="62" t="s">
        <v>140</v>
      </c>
      <c r="C104" s="61">
        <f>C100*Inputs!$B$23</f>
        <v>-0.77253088067117215</v>
      </c>
      <c r="D104" s="62" t="s">
        <v>130</v>
      </c>
      <c r="E104" s="53"/>
    </row>
    <row r="105" spans="1:5">
      <c r="A105" s="369"/>
      <c r="B105" s="64" t="s">
        <v>141</v>
      </c>
      <c r="C105" s="67">
        <f>SUM(C103:C104)</f>
        <v>2.8319725753777876</v>
      </c>
      <c r="D105" s="64" t="s">
        <v>130</v>
      </c>
      <c r="E105" s="53"/>
    </row>
    <row r="106" spans="1:5">
      <c r="A106" s="370"/>
      <c r="B106" s="78" t="s">
        <v>142</v>
      </c>
      <c r="C106" s="79">
        <f>$D$14-C105</f>
        <v>1.806549591634889</v>
      </c>
      <c r="D106" s="78" t="s">
        <v>130</v>
      </c>
      <c r="E106" s="53"/>
    </row>
    <row r="107" spans="1:5" ht="15" customHeight="1">
      <c r="A107" s="369" t="s">
        <v>145</v>
      </c>
      <c r="B107" s="54" t="s">
        <v>137</v>
      </c>
      <c r="C107" s="66">
        <f>'Power Flows'!T233</f>
        <v>36.902092704124428</v>
      </c>
      <c r="D107" s="54" t="s">
        <v>127</v>
      </c>
      <c r="E107" s="53"/>
    </row>
    <row r="108" spans="1:5">
      <c r="A108" s="369"/>
      <c r="B108" s="54" t="s">
        <v>138</v>
      </c>
      <c r="C108" s="66">
        <f>'Power Flows'!$Q$233-C107</f>
        <v>-7.7630949623707757</v>
      </c>
      <c r="D108" s="54" t="s">
        <v>127</v>
      </c>
      <c r="E108" s="53"/>
    </row>
    <row r="109" spans="1:5">
      <c r="A109" s="369"/>
      <c r="B109" s="317" t="s">
        <v>126</v>
      </c>
      <c r="C109" s="66">
        <f>SUM('Power Flows'!R241:R252)</f>
        <v>7.7630949623707686</v>
      </c>
      <c r="D109" s="54" t="s">
        <v>127</v>
      </c>
      <c r="E109" s="53"/>
    </row>
    <row r="110" spans="1:5">
      <c r="A110" s="369"/>
      <c r="B110" s="317" t="s">
        <v>128</v>
      </c>
      <c r="C110" s="66">
        <f>SUM('Power Flows'!R234:R240,'Power Flows'!R253:R257)</f>
        <v>0</v>
      </c>
      <c r="D110" s="54" t="s">
        <v>127</v>
      </c>
      <c r="E110" s="53"/>
    </row>
    <row r="111" spans="1:5">
      <c r="A111" s="369"/>
      <c r="B111" s="64" t="s">
        <v>139</v>
      </c>
      <c r="C111" s="67">
        <f>(C15-C109+C16-C110)*Inputs!$B$12</f>
        <v>3.7196264398002459</v>
      </c>
      <c r="D111" s="64" t="s">
        <v>130</v>
      </c>
      <c r="E111" s="53"/>
    </row>
    <row r="112" spans="1:5">
      <c r="A112" s="369"/>
      <c r="B112" s="62" t="s">
        <v>140</v>
      </c>
      <c r="C112" s="61">
        <f>C108*Inputs!$B$23</f>
        <v>-0.93157139548449308</v>
      </c>
      <c r="D112" s="62" t="s">
        <v>130</v>
      </c>
      <c r="E112" s="53"/>
    </row>
    <row r="113" spans="1:6">
      <c r="A113" s="369"/>
      <c r="B113" s="64" t="s">
        <v>141</v>
      </c>
      <c r="C113" s="67">
        <f>SUM(C111:C112)</f>
        <v>2.7880550443157528</v>
      </c>
      <c r="D113" s="64" t="s">
        <v>130</v>
      </c>
      <c r="E113" s="53"/>
    </row>
    <row r="114" spans="1:6">
      <c r="A114" s="370"/>
      <c r="B114" s="78" t="s">
        <v>142</v>
      </c>
      <c r="C114" s="79">
        <f>$D$17-C113</f>
        <v>2.2406799531133768</v>
      </c>
      <c r="D114" s="78" t="s">
        <v>130</v>
      </c>
      <c r="E114" s="53"/>
    </row>
    <row r="115" spans="1:6" s="77" customFormat="1" ht="61.5" customHeight="1">
      <c r="A115" s="362" t="s">
        <v>146</v>
      </c>
      <c r="B115" s="83" t="s">
        <v>152</v>
      </c>
      <c r="C115" s="84">
        <f>C116-C55</f>
        <v>555.52564659736288</v>
      </c>
      <c r="D115" s="318" t="s">
        <v>134</v>
      </c>
      <c r="E115" s="76"/>
    </row>
    <row r="116" spans="1:6" ht="57.75" customHeight="1">
      <c r="A116" s="363"/>
      <c r="B116" s="83" t="s">
        <v>153</v>
      </c>
      <c r="C116" s="84">
        <f>C89*'Power Flows'!$C$18+C97*'Power Flows'!$C$48+C105*'Power Flows'!$C$78+C113*'Power Flows'!$C$108</f>
        <v>1299.9645040431508</v>
      </c>
      <c r="D116" s="83" t="s">
        <v>134</v>
      </c>
    </row>
    <row r="117" spans="1:6">
      <c r="A117" s="53"/>
      <c r="B117" s="68"/>
      <c r="C117" s="68"/>
      <c r="D117" s="68"/>
      <c r="E117" s="53"/>
      <c r="F117" s="53"/>
    </row>
    <row r="118" spans="1:6">
      <c r="A118" s="53"/>
      <c r="B118" s="53"/>
      <c r="C118" s="53"/>
      <c r="D118" s="53"/>
      <c r="E118" s="53"/>
      <c r="F118" s="53"/>
    </row>
    <row r="119" spans="1:6" ht="15" customHeight="1">
      <c r="A119" s="54" t="s">
        <v>148</v>
      </c>
      <c r="B119" s="53"/>
      <c r="C119" s="53"/>
      <c r="D119" s="53"/>
      <c r="E119" s="53"/>
      <c r="F119" s="53"/>
    </row>
    <row r="120" spans="1:6">
      <c r="A120" s="73" t="s">
        <v>154</v>
      </c>
      <c r="C120" s="53"/>
      <c r="D120" s="53"/>
      <c r="E120" s="53"/>
      <c r="F120" s="53"/>
    </row>
    <row r="121" spans="1:6" ht="15.75">
      <c r="A121" s="54" t="s">
        <v>150</v>
      </c>
      <c r="B121" s="74">
        <f>'Power Flows'!U143/'Power Flows'!K143</f>
        <v>0.65284092156610918</v>
      </c>
      <c r="C121" s="53"/>
      <c r="D121" s="53"/>
      <c r="E121" s="53"/>
      <c r="F121" s="53"/>
    </row>
    <row r="122" spans="1:6" ht="15.75">
      <c r="A122" s="54" t="s">
        <v>56</v>
      </c>
      <c r="B122" s="74">
        <f>'Power Flows'!W143/'Power Flows'!K143</f>
        <v>0.34715907843389077</v>
      </c>
      <c r="C122" s="53"/>
      <c r="D122" s="53"/>
      <c r="E122" s="53"/>
      <c r="F122" s="53"/>
    </row>
  </sheetData>
  <mergeCells count="14">
    <mergeCell ref="A115:A116"/>
    <mergeCell ref="A6:A8"/>
    <mergeCell ref="A18:A20"/>
    <mergeCell ref="A23:A30"/>
    <mergeCell ref="A47:A54"/>
    <mergeCell ref="A9:A11"/>
    <mergeCell ref="A12:A14"/>
    <mergeCell ref="A15:A17"/>
    <mergeCell ref="A31:A38"/>
    <mergeCell ref="A39:A46"/>
    <mergeCell ref="A107:A114"/>
    <mergeCell ref="A91:A98"/>
    <mergeCell ref="A99:A106"/>
    <mergeCell ref="A83:A9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0"/>
  <sheetViews>
    <sheetView zoomScaleNormal="100" workbookViewId="0">
      <selection activeCell="D47" sqref="D47"/>
    </sheetView>
  </sheetViews>
  <sheetFormatPr defaultColWidth="8.625" defaultRowHeight="13.15"/>
  <cols>
    <col min="1" max="1" width="25.625" style="1" customWidth="1"/>
    <col min="2" max="2" width="9.375" style="2" customWidth="1"/>
    <col min="3" max="3" width="10.875" style="1" customWidth="1"/>
    <col min="4" max="4" width="16.125" style="1" customWidth="1"/>
    <col min="5" max="5" width="14.125" style="1" customWidth="1"/>
    <col min="6" max="6" width="15" style="1" bestFit="1" customWidth="1"/>
    <col min="7" max="7" width="15.625" style="1" customWidth="1"/>
    <col min="8" max="8" width="16.625" style="1" customWidth="1"/>
    <col min="9" max="9" width="17" style="1" bestFit="1" customWidth="1"/>
    <col min="10" max="10" width="12.5" style="1" customWidth="1"/>
    <col min="11" max="11" width="11.125" style="1" customWidth="1"/>
    <col min="12" max="12" width="11.5" style="1" customWidth="1"/>
    <col min="13" max="16384" width="8.625" style="1"/>
  </cols>
  <sheetData>
    <row r="1" spans="1:14">
      <c r="A1" s="4" t="s">
        <v>155</v>
      </c>
      <c r="B1" s="91"/>
    </row>
    <row r="2" spans="1:14">
      <c r="A2" s="6" t="s">
        <v>156</v>
      </c>
      <c r="B2" s="91"/>
    </row>
    <row r="3" spans="1:14">
      <c r="B3" s="1"/>
    </row>
    <row r="4" spans="1:14">
      <c r="B4" s="1"/>
    </row>
    <row r="5" spans="1:14">
      <c r="A5" s="4" t="s">
        <v>157</v>
      </c>
      <c r="B5" s="261">
        <v>1</v>
      </c>
    </row>
    <row r="6" spans="1:14">
      <c r="A6" s="27"/>
      <c r="B6" s="91"/>
      <c r="C6" s="26"/>
      <c r="D6" s="26"/>
      <c r="E6" s="26"/>
      <c r="F6" s="26"/>
      <c r="G6" s="26"/>
      <c r="H6" s="26"/>
    </row>
    <row r="7" spans="1:14">
      <c r="A7" s="232" t="s">
        <v>158</v>
      </c>
      <c r="B7" s="232"/>
      <c r="C7" s="232"/>
      <c r="D7" s="232" t="s">
        <v>59</v>
      </c>
      <c r="E7" s="232" t="s">
        <v>60</v>
      </c>
      <c r="F7" s="232" t="s">
        <v>61</v>
      </c>
      <c r="G7" s="232" t="s">
        <v>62</v>
      </c>
      <c r="H7" s="232" t="s">
        <v>159</v>
      </c>
      <c r="I7" s="232" t="s">
        <v>245</v>
      </c>
      <c r="J7" s="232" t="s">
        <v>20</v>
      </c>
      <c r="K7" s="97" t="s">
        <v>56</v>
      </c>
      <c r="L7" s="97" t="s">
        <v>160</v>
      </c>
      <c r="M7" s="97" t="s">
        <v>20</v>
      </c>
    </row>
    <row r="8" spans="1:14">
      <c r="B8" s="91"/>
      <c r="D8" s="9" t="s">
        <v>100</v>
      </c>
      <c r="E8" s="9" t="s">
        <v>100</v>
      </c>
      <c r="F8" s="9" t="s">
        <v>100</v>
      </c>
      <c r="G8" s="9" t="s">
        <v>100</v>
      </c>
      <c r="H8" s="9" t="s">
        <v>100</v>
      </c>
      <c r="I8" s="9" t="s">
        <v>100</v>
      </c>
      <c r="J8" s="9" t="s">
        <v>100</v>
      </c>
      <c r="K8" s="9" t="s">
        <v>100</v>
      </c>
      <c r="L8" s="9" t="s">
        <v>100</v>
      </c>
      <c r="M8" s="9" t="s">
        <v>100</v>
      </c>
    </row>
    <row r="9" spans="1:14">
      <c r="A9" s="1" t="s">
        <v>161</v>
      </c>
      <c r="B9" s="91"/>
      <c r="D9" s="8">
        <f>'Power Flows'!C6</f>
        <v>224.24279097110397</v>
      </c>
      <c r="E9" s="8">
        <f>'Power Flows'!D6</f>
        <v>1183.7533712051536</v>
      </c>
      <c r="F9" s="8">
        <f>'Power Flows'!E6</f>
        <v>1218.9527883012886</v>
      </c>
      <c r="G9" s="8">
        <f>'Power Flows'!F6</f>
        <v>97.44164384780224</v>
      </c>
      <c r="H9" s="8">
        <v>0</v>
      </c>
      <c r="I9" s="8">
        <f>'Power Flows'!G6</f>
        <v>254.43227942715555</v>
      </c>
      <c r="J9" s="8">
        <f>SUM(D9:I9)</f>
        <v>2978.8228737525042</v>
      </c>
      <c r="K9" s="8">
        <f>SUM(E9:G9,I9)</f>
        <v>2754.5800827814005</v>
      </c>
      <c r="L9" s="8">
        <f>D9</f>
        <v>224.24279097110397</v>
      </c>
      <c r="M9" s="8">
        <f>SUM(K9:L9)</f>
        <v>2978.8228737525046</v>
      </c>
    </row>
    <row r="10" spans="1:14">
      <c r="A10" s="1" t="s">
        <v>162</v>
      </c>
      <c r="B10" s="91"/>
      <c r="D10" s="8">
        <f>'Power Flows'!C7</f>
        <v>203.40238288828823</v>
      </c>
      <c r="E10" s="8">
        <f>'Power Flows'!D7</f>
        <v>623.94117948463872</v>
      </c>
      <c r="F10" s="8">
        <f>'Power Flows'!E7</f>
        <v>925.25521620416271</v>
      </c>
      <c r="G10" s="8">
        <f>'Power Flows'!F7</f>
        <v>33.800935515608778</v>
      </c>
      <c r="H10" s="8">
        <v>0</v>
      </c>
      <c r="I10" s="8">
        <f>'Power Flows'!G7</f>
        <v>130.54277452923685</v>
      </c>
      <c r="J10" s="8">
        <f t="shared" ref="J10:J12" si="0">SUM(D10:I10)</f>
        <v>1916.9424886219351</v>
      </c>
      <c r="K10" s="8">
        <f t="shared" ref="K10:K12" si="1">SUM(E10:G10,I10)</f>
        <v>1713.5401057336469</v>
      </c>
      <c r="L10" s="8">
        <f>D10</f>
        <v>203.40238288828823</v>
      </c>
      <c r="M10" s="8">
        <f>SUM(K10:L10)</f>
        <v>1916.9424886219351</v>
      </c>
    </row>
    <row r="11" spans="1:14">
      <c r="A11" s="1" t="s">
        <v>163</v>
      </c>
      <c r="B11" s="91"/>
      <c r="D11" s="8">
        <f>'Power Flows'!C8</f>
        <v>195.89983597847336</v>
      </c>
      <c r="E11" s="8">
        <f>'Power Flows'!D8</f>
        <v>733.53563815659049</v>
      </c>
      <c r="F11" s="8">
        <f>'Power Flows'!E8</f>
        <v>1087.7750944995043</v>
      </c>
      <c r="G11" s="8">
        <f>'Power Flows'!F8</f>
        <v>46.917034486130234</v>
      </c>
      <c r="H11" s="8">
        <v>0</v>
      </c>
      <c r="I11" s="8">
        <f>'Power Flows'!G8</f>
        <v>153.47244350842416</v>
      </c>
      <c r="J11" s="8">
        <f t="shared" si="0"/>
        <v>2217.6000466291225</v>
      </c>
      <c r="K11" s="8">
        <f t="shared" si="1"/>
        <v>2021.7002106506493</v>
      </c>
      <c r="L11" s="8">
        <f>D11</f>
        <v>195.89983597847336</v>
      </c>
      <c r="M11" s="8">
        <f>SUM(K11:L11)</f>
        <v>2217.6000466291225</v>
      </c>
    </row>
    <row r="12" spans="1:14">
      <c r="A12" s="1" t="s">
        <v>164</v>
      </c>
      <c r="B12" s="91"/>
      <c r="D12" s="8">
        <f>'Power Flows'!C9</f>
        <v>210.07131347478889</v>
      </c>
      <c r="E12" s="8">
        <f>'Power Flows'!D9</f>
        <v>1048.6197068384545</v>
      </c>
      <c r="F12" s="8">
        <f>'Power Flows'!E9</f>
        <v>1555.0197445986125</v>
      </c>
      <c r="G12" s="8">
        <f>'Power Flows'!F9</f>
        <v>150.06304410001263</v>
      </c>
      <c r="H12" s="8">
        <v>0</v>
      </c>
      <c r="I12" s="8">
        <f>'Power Flows'!G9</f>
        <v>123.01299454905836</v>
      </c>
      <c r="J12" s="51">
        <f t="shared" si="0"/>
        <v>3086.7868035609272</v>
      </c>
      <c r="K12" s="51">
        <f t="shared" si="1"/>
        <v>2876.7154900861378</v>
      </c>
      <c r="L12" s="51">
        <f>D12</f>
        <v>210.07131347478889</v>
      </c>
      <c r="M12" s="51">
        <f>SUM(K12:L12)</f>
        <v>3086.7868035609267</v>
      </c>
    </row>
    <row r="13" spans="1:14">
      <c r="A13" s="4" t="s">
        <v>20</v>
      </c>
      <c r="B13" s="91"/>
      <c r="D13" s="36">
        <f t="shared" ref="D13:H13" si="2">SUM(D9:D12)</f>
        <v>833.61632331265446</v>
      </c>
      <c r="E13" s="36">
        <f t="shared" si="2"/>
        <v>3589.8498956848371</v>
      </c>
      <c r="F13" s="36">
        <f t="shared" si="2"/>
        <v>4787.0028436035682</v>
      </c>
      <c r="G13" s="36">
        <f t="shared" si="2"/>
        <v>328.22265794955388</v>
      </c>
      <c r="H13" s="36">
        <f t="shared" si="2"/>
        <v>0</v>
      </c>
      <c r="I13" s="36">
        <f t="shared" ref="I13" si="3">SUM(I9:I12)</f>
        <v>661.46049201387495</v>
      </c>
      <c r="J13" s="89">
        <f>SUM(J9:J12)</f>
        <v>10200.152212564488</v>
      </c>
      <c r="K13" s="89">
        <f>SUM(K9:K12)</f>
        <v>9366.5358892518343</v>
      </c>
      <c r="L13" s="89">
        <f>SUM(L9:L12)</f>
        <v>833.61632331265446</v>
      </c>
      <c r="M13" s="89">
        <f>SUM(M9:M12)</f>
        <v>10200.15221256449</v>
      </c>
    </row>
    <row r="14" spans="1:14">
      <c r="A14" s="4"/>
      <c r="B14" s="91"/>
      <c r="D14" s="7"/>
      <c r="E14" s="7"/>
      <c r="F14" s="7"/>
      <c r="G14" s="7"/>
      <c r="H14" s="7"/>
    </row>
    <row r="15" spans="1:14">
      <c r="A15" s="3" t="s">
        <v>165</v>
      </c>
      <c r="B15" s="3"/>
      <c r="C15" s="3" t="s">
        <v>166</v>
      </c>
      <c r="D15" s="3" t="s">
        <v>59</v>
      </c>
      <c r="E15" s="3" t="s">
        <v>60</v>
      </c>
      <c r="F15" s="3" t="s">
        <v>61</v>
      </c>
      <c r="G15" s="3" t="s">
        <v>62</v>
      </c>
      <c r="H15" s="3" t="s">
        <v>159</v>
      </c>
      <c r="I15" s="3" t="s">
        <v>245</v>
      </c>
      <c r="J15" s="3" t="s">
        <v>20</v>
      </c>
      <c r="K15" s="95" t="s">
        <v>56</v>
      </c>
      <c r="L15" s="95" t="s">
        <v>160</v>
      </c>
      <c r="M15" s="95" t="s">
        <v>167</v>
      </c>
      <c r="N15" s="95" t="s">
        <v>20</v>
      </c>
    </row>
    <row r="16" spans="1:14">
      <c r="A16" s="1" t="s">
        <v>168</v>
      </c>
      <c r="B16" s="1"/>
      <c r="C16" s="260">
        <v>1000</v>
      </c>
      <c r="D16" s="9" t="s">
        <v>156</v>
      </c>
      <c r="E16" s="9" t="s">
        <v>156</v>
      </c>
      <c r="F16" s="9" t="s">
        <v>156</v>
      </c>
      <c r="G16" s="9" t="s">
        <v>156</v>
      </c>
      <c r="H16" s="9" t="s">
        <v>156</v>
      </c>
      <c r="I16" s="9" t="s">
        <v>156</v>
      </c>
      <c r="J16" s="9" t="s">
        <v>156</v>
      </c>
      <c r="K16" s="9" t="s">
        <v>156</v>
      </c>
      <c r="L16" s="9" t="s">
        <v>156</v>
      </c>
      <c r="M16" s="9" t="s">
        <v>156</v>
      </c>
      <c r="N16" s="9" t="s">
        <v>156</v>
      </c>
    </row>
    <row r="17" spans="1:14">
      <c r="A17" s="1" t="s">
        <v>169</v>
      </c>
      <c r="B17" s="1"/>
      <c r="C17" s="28">
        <v>0</v>
      </c>
      <c r="D17" s="28">
        <v>0</v>
      </c>
      <c r="E17" s="28">
        <v>0</v>
      </c>
      <c r="F17" s="28">
        <v>0</v>
      </c>
      <c r="G17" s="28">
        <v>0</v>
      </c>
      <c r="H17" s="28">
        <v>0</v>
      </c>
      <c r="I17" s="28">
        <v>0</v>
      </c>
    </row>
    <row r="19" spans="1:14">
      <c r="B19" s="91"/>
      <c r="C19" s="91"/>
      <c r="D19" s="91"/>
      <c r="E19" s="91"/>
      <c r="G19" s="91"/>
      <c r="H19" s="91"/>
      <c r="J19" s="91"/>
    </row>
    <row r="20" spans="1:14">
      <c r="A20" s="1" t="s">
        <v>161</v>
      </c>
      <c r="B20" s="91"/>
      <c r="D20" s="92">
        <f>'Power Flows'!C12</f>
        <v>53.818269833064953</v>
      </c>
      <c r="E20" s="92">
        <f>'Power Flows'!D12</f>
        <v>171.42328323317068</v>
      </c>
      <c r="F20" s="92">
        <f>'Power Flows'!E12</f>
        <v>178.8125745961546</v>
      </c>
      <c r="G20" s="92">
        <f>'Power Flows'!F12</f>
        <v>17.795827139520117</v>
      </c>
      <c r="H20" s="92">
        <f>Inputs!$B$33/4</f>
        <v>102.98007749970452</v>
      </c>
      <c r="I20" s="92">
        <f>'Power Flows'!G12</f>
        <v>46.241783419161109</v>
      </c>
      <c r="J20" s="92">
        <f>SUM(D20:I20)</f>
        <v>571.07181572077604</v>
      </c>
      <c r="K20" s="92">
        <f>SUM(E20:G20,I20)</f>
        <v>414.27346838800645</v>
      </c>
      <c r="L20" s="92">
        <f>D20</f>
        <v>53.818269833064953</v>
      </c>
      <c r="M20" s="92">
        <f>H20</f>
        <v>102.98007749970452</v>
      </c>
      <c r="N20" s="92">
        <f>SUM(K20:M20)</f>
        <v>571.07181572077593</v>
      </c>
    </row>
    <row r="21" spans="1:14">
      <c r="A21" s="1" t="s">
        <v>162</v>
      </c>
      <c r="B21" s="91"/>
      <c r="D21" s="92">
        <f>'Power Flows'!C13</f>
        <v>48.81657189318917</v>
      </c>
      <c r="E21" s="92">
        <f>'Power Flows'!D13</f>
        <v>94.179115606759623</v>
      </c>
      <c r="F21" s="92">
        <f>'Power Flows'!E13</f>
        <v>140.54486594449949</v>
      </c>
      <c r="G21" s="92">
        <f>'Power Flows'!F13</f>
        <v>7.6823033624118038</v>
      </c>
      <c r="H21" s="92">
        <f>Inputs!$B$33/4</f>
        <v>102.98007749970452</v>
      </c>
      <c r="I21" s="92">
        <f>'Power Flows'!G13</f>
        <v>25.879826985943929</v>
      </c>
      <c r="J21" s="92">
        <f t="shared" ref="J21:J22" si="4">SUM(D21:I21)</f>
        <v>420.08276129250851</v>
      </c>
      <c r="K21" s="92">
        <f t="shared" ref="K21:K23" si="5">SUM(E21:G21,I21)</f>
        <v>268.28611189961481</v>
      </c>
      <c r="L21" s="92">
        <f>D21</f>
        <v>48.81657189318917</v>
      </c>
      <c r="M21" s="92">
        <f>H21</f>
        <v>102.98007749970452</v>
      </c>
      <c r="N21" s="92">
        <f>SUM(K21:M21)</f>
        <v>420.08276129250851</v>
      </c>
    </row>
    <row r="22" spans="1:14">
      <c r="A22" s="1" t="s">
        <v>163</v>
      </c>
      <c r="B22" s="91"/>
      <c r="D22" s="92">
        <f>'Power Flows'!C14</f>
        <v>47.015960634833604</v>
      </c>
      <c r="E22" s="92">
        <f>'Power Flows'!D14</f>
        <v>107.59676552329363</v>
      </c>
      <c r="F22" s="92">
        <f>'Power Flows'!E14</f>
        <v>158.95861133994055</v>
      </c>
      <c r="G22" s="92">
        <f>'Power Flows'!F14</f>
        <v>9.7494329757431828</v>
      </c>
      <c r="H22" s="92">
        <f>Inputs!$B$33/4</f>
        <v>102.98007749970452</v>
      </c>
      <c r="I22" s="92">
        <f>'Power Flows'!G14</f>
        <v>27.485307723114854</v>
      </c>
      <c r="J22" s="92">
        <f t="shared" si="4"/>
        <v>453.78615569663032</v>
      </c>
      <c r="K22" s="92">
        <f t="shared" si="5"/>
        <v>303.79011756209218</v>
      </c>
      <c r="L22" s="92">
        <f>D22</f>
        <v>47.015960634833604</v>
      </c>
      <c r="M22" s="92">
        <f>H22</f>
        <v>102.98007749970452</v>
      </c>
      <c r="N22" s="92">
        <f>SUM(K22:M22)</f>
        <v>453.78615569663032</v>
      </c>
    </row>
    <row r="23" spans="1:14">
      <c r="A23" s="1" t="s">
        <v>164</v>
      </c>
      <c r="B23" s="91"/>
      <c r="D23" s="94">
        <f>'Power Flows'!C15</f>
        <v>50.417115233949332</v>
      </c>
      <c r="E23" s="94">
        <f>'Power Flows'!D15</f>
        <v>148.75599894358783</v>
      </c>
      <c r="F23" s="94">
        <f>'Power Flows'!E15</f>
        <v>217.08428935183346</v>
      </c>
      <c r="G23" s="94">
        <f>'Power Flows'!F15</f>
        <v>25.248924901647865</v>
      </c>
      <c r="H23" s="94">
        <f>Inputs!$B$33/4</f>
        <v>102.98007749970452</v>
      </c>
      <c r="I23" s="94">
        <f>'Power Flows'!G15</f>
        <v>19.652888958561981</v>
      </c>
      <c r="J23" s="94">
        <f>SUM(D23:I23)</f>
        <v>564.13929488928511</v>
      </c>
      <c r="K23" s="94">
        <f t="shared" si="5"/>
        <v>410.74210215563107</v>
      </c>
      <c r="L23" s="94">
        <f>D23</f>
        <v>50.417115233949332</v>
      </c>
      <c r="M23" s="94">
        <f>H23</f>
        <v>102.98007749970452</v>
      </c>
      <c r="N23" s="94">
        <f>SUM(K23:M23)</f>
        <v>564.13929488928488</v>
      </c>
    </row>
    <row r="24" spans="1:14">
      <c r="A24" s="4" t="s">
        <v>20</v>
      </c>
      <c r="B24" s="91"/>
      <c r="D24" s="93">
        <f t="shared" ref="D24:I24" si="6">SUM(D20:D23)</f>
        <v>200.06791759503704</v>
      </c>
      <c r="E24" s="93">
        <f t="shared" si="6"/>
        <v>521.95516330681176</v>
      </c>
      <c r="F24" s="93">
        <f t="shared" si="6"/>
        <v>695.4003412324281</v>
      </c>
      <c r="G24" s="93">
        <f t="shared" si="6"/>
        <v>60.476488379322973</v>
      </c>
      <c r="H24" s="93">
        <f t="shared" si="6"/>
        <v>411.92030999881808</v>
      </c>
      <c r="I24" s="93">
        <f t="shared" si="6"/>
        <v>119.25980708678188</v>
      </c>
      <c r="J24" s="93">
        <f>SUM(J20:J23)</f>
        <v>2009.0800275991999</v>
      </c>
      <c r="K24" s="93">
        <f>SUM(K20:K23)</f>
        <v>1397.0918000053443</v>
      </c>
      <c r="L24" s="93">
        <f>SUM(L20:L23)</f>
        <v>200.06791759503704</v>
      </c>
      <c r="M24" s="93">
        <f>SUM(M20:M23)</f>
        <v>411.92030999881808</v>
      </c>
      <c r="N24" s="93">
        <f>SUM(N20:N23)</f>
        <v>2009.0800275991996</v>
      </c>
    </row>
    <row r="25" spans="1:14">
      <c r="A25" s="27"/>
      <c r="B25" s="91"/>
      <c r="C25" s="26"/>
      <c r="D25" s="26"/>
      <c r="E25" s="26"/>
      <c r="F25" s="26"/>
      <c r="G25" s="26"/>
      <c r="H25" s="26"/>
      <c r="I25" s="90"/>
      <c r="J25" s="96"/>
    </row>
    <row r="26" spans="1:14">
      <c r="A26" s="4" t="s">
        <v>170</v>
      </c>
      <c r="B26" s="28">
        <v>0.125</v>
      </c>
      <c r="C26" s="26"/>
      <c r="D26" s="26"/>
      <c r="E26" s="26"/>
      <c r="F26" s="26"/>
      <c r="G26" s="26"/>
      <c r="H26" s="26"/>
    </row>
    <row r="27" spans="1:14">
      <c r="A27" s="4" t="s">
        <v>171</v>
      </c>
      <c r="B27" s="5">
        <f>XNPV(0.1,K33:K61,A33:A61)</f>
        <v>8533.7207776767918</v>
      </c>
      <c r="C27" s="26"/>
      <c r="D27" s="26"/>
      <c r="E27" s="26"/>
      <c r="F27" s="26"/>
      <c r="G27" s="26"/>
      <c r="H27" s="26"/>
    </row>
    <row r="28" spans="1:14">
      <c r="A28" s="4" t="s">
        <v>172</v>
      </c>
      <c r="B28" s="30">
        <f>XIRR(K33:K61,A33:A61,0.2)</f>
        <v>3.729207539558411</v>
      </c>
      <c r="C28" s="26"/>
      <c r="D28" s="26"/>
      <c r="E28" s="26"/>
      <c r="F28" s="26"/>
      <c r="G28" s="26"/>
      <c r="H28" s="26"/>
    </row>
    <row r="29" spans="1:14">
      <c r="A29" s="4" t="s">
        <v>173</v>
      </c>
      <c r="B29" s="29">
        <f>-K33/SUM(K34:K37)</f>
        <v>0.52915086268304057</v>
      </c>
      <c r="C29" s="26"/>
      <c r="D29" s="26"/>
      <c r="E29" s="26"/>
      <c r="F29" s="26"/>
      <c r="G29" s="26"/>
      <c r="H29" s="26"/>
    </row>
    <row r="30" spans="1:14">
      <c r="A30" s="4"/>
      <c r="B30" s="29"/>
      <c r="C30" s="26"/>
      <c r="D30" s="26"/>
      <c r="E30" s="26"/>
      <c r="F30" s="26"/>
      <c r="G30" s="26"/>
      <c r="H30" s="26"/>
    </row>
    <row r="31" spans="1:14">
      <c r="A31" s="4" t="s">
        <v>174</v>
      </c>
      <c r="B31" s="91"/>
      <c r="C31" s="28">
        <v>1</v>
      </c>
      <c r="D31" s="28">
        <v>1</v>
      </c>
      <c r="E31" s="28">
        <v>1</v>
      </c>
      <c r="F31" s="28">
        <v>1</v>
      </c>
      <c r="G31" s="28">
        <v>1</v>
      </c>
      <c r="H31" s="28">
        <v>1</v>
      </c>
      <c r="I31" s="28">
        <v>1</v>
      </c>
      <c r="J31" s="28">
        <v>1</v>
      </c>
    </row>
    <row r="32" spans="1:14">
      <c r="A32" s="27"/>
      <c r="B32" s="91"/>
      <c r="C32" s="26"/>
      <c r="D32" s="26"/>
      <c r="E32" s="26"/>
      <c r="F32" s="26"/>
      <c r="K32" s="25"/>
    </row>
    <row r="33" spans="1:16">
      <c r="A33" s="23">
        <v>43100</v>
      </c>
      <c r="B33" s="91" t="s">
        <v>175</v>
      </c>
      <c r="C33" s="24">
        <f>-C16*B5*C31</f>
        <v>-1000</v>
      </c>
      <c r="D33" s="21"/>
      <c r="E33" s="21"/>
      <c r="F33" s="21"/>
      <c r="G33" s="21"/>
      <c r="K33" s="19">
        <f>SUM(C33:F33)</f>
        <v>-1000</v>
      </c>
      <c r="L33" s="232" t="s">
        <v>176</v>
      </c>
      <c r="M33" s="232" t="s">
        <v>177</v>
      </c>
    </row>
    <row r="34" spans="1:16">
      <c r="A34" s="23">
        <f t="shared" ref="A34:A73" si="7">EOMONTH(A33,3)</f>
        <v>43190</v>
      </c>
      <c r="B34" s="91">
        <v>1</v>
      </c>
      <c r="D34" s="5">
        <f t="shared" ref="D34:H37" si="8">+D20*$B$5*D$31</f>
        <v>53.818269833064953</v>
      </c>
      <c r="E34" s="5">
        <f t="shared" si="8"/>
        <v>171.42328323317068</v>
      </c>
      <c r="F34" s="5">
        <f t="shared" si="8"/>
        <v>178.8125745961546</v>
      </c>
      <c r="G34" s="5">
        <f t="shared" si="8"/>
        <v>17.795827139520117</v>
      </c>
      <c r="H34" s="5">
        <f t="shared" si="8"/>
        <v>102.98007749970452</v>
      </c>
      <c r="I34" s="5"/>
      <c r="J34" s="5"/>
      <c r="K34" s="15">
        <f t="shared" ref="K34:K73" si="9">SUM(C34:J34)</f>
        <v>524.83003230161489</v>
      </c>
      <c r="L34" s="14">
        <f>K34</f>
        <v>524.83003230161489</v>
      </c>
      <c r="M34" s="13">
        <f t="shared" ref="M34:M73" si="10">ABS(K$33)/L34</f>
        <v>1.9053787673212066</v>
      </c>
    </row>
    <row r="35" spans="1:16">
      <c r="A35" s="16">
        <f t="shared" si="7"/>
        <v>43281</v>
      </c>
      <c r="B35" s="91">
        <f t="shared" ref="B35:B73" si="11">+B34+1</f>
        <v>2</v>
      </c>
      <c r="D35" s="5">
        <f t="shared" si="8"/>
        <v>48.81657189318917</v>
      </c>
      <c r="E35" s="5">
        <f t="shared" si="8"/>
        <v>94.179115606759623</v>
      </c>
      <c r="F35" s="5">
        <f t="shared" si="8"/>
        <v>140.54486594449949</v>
      </c>
      <c r="G35" s="5">
        <f t="shared" si="8"/>
        <v>7.6823033624118038</v>
      </c>
      <c r="H35" s="5">
        <f t="shared" si="8"/>
        <v>102.98007749970452</v>
      </c>
      <c r="I35" s="5"/>
      <c r="J35" s="5"/>
      <c r="K35" s="15">
        <f t="shared" si="9"/>
        <v>394.2029343065646</v>
      </c>
      <c r="L35" s="14">
        <f t="shared" ref="L35:L61" si="12">+L34+K35</f>
        <v>919.03296660817955</v>
      </c>
      <c r="M35" s="13">
        <f t="shared" si="10"/>
        <v>1.0881002492115606</v>
      </c>
    </row>
    <row r="36" spans="1:16">
      <c r="A36" s="16">
        <f t="shared" si="7"/>
        <v>43373</v>
      </c>
      <c r="B36" s="91">
        <f t="shared" si="11"/>
        <v>3</v>
      </c>
      <c r="D36" s="5">
        <f t="shared" si="8"/>
        <v>47.015960634833604</v>
      </c>
      <c r="E36" s="5">
        <f t="shared" si="8"/>
        <v>107.59676552329363</v>
      </c>
      <c r="F36" s="5">
        <f t="shared" si="8"/>
        <v>158.95861133994055</v>
      </c>
      <c r="G36" s="5">
        <f t="shared" si="8"/>
        <v>9.7494329757431828</v>
      </c>
      <c r="H36" s="5">
        <f t="shared" si="8"/>
        <v>102.98007749970452</v>
      </c>
      <c r="I36" s="5"/>
      <c r="J36" s="5"/>
      <c r="K36" s="15">
        <f t="shared" si="9"/>
        <v>426.30084797351549</v>
      </c>
      <c r="L36" s="14">
        <f t="shared" si="12"/>
        <v>1345.3338145816952</v>
      </c>
      <c r="M36" s="13">
        <f t="shared" si="10"/>
        <v>0.74330994223238944</v>
      </c>
    </row>
    <row r="37" spans="1:16">
      <c r="A37" s="16">
        <f t="shared" si="7"/>
        <v>43465</v>
      </c>
      <c r="B37" s="22">
        <f t="shared" si="11"/>
        <v>4</v>
      </c>
      <c r="C37" s="21"/>
      <c r="D37" s="20">
        <f t="shared" si="8"/>
        <v>50.417115233949332</v>
      </c>
      <c r="E37" s="20">
        <f t="shared" si="8"/>
        <v>148.75599894358783</v>
      </c>
      <c r="F37" s="20">
        <f t="shared" si="8"/>
        <v>217.08428935183346</v>
      </c>
      <c r="G37" s="20">
        <f t="shared" si="8"/>
        <v>25.248924901647865</v>
      </c>
      <c r="H37" s="20">
        <f t="shared" si="8"/>
        <v>102.98007749970452</v>
      </c>
      <c r="I37" s="20"/>
      <c r="J37" s="20"/>
      <c r="K37" s="19">
        <f t="shared" si="9"/>
        <v>544.48640593072309</v>
      </c>
      <c r="L37" s="18">
        <f t="shared" si="12"/>
        <v>1889.8202205124182</v>
      </c>
      <c r="M37" s="17">
        <f t="shared" si="10"/>
        <v>0.52915086268304057</v>
      </c>
    </row>
    <row r="38" spans="1:16">
      <c r="A38" s="16">
        <f t="shared" si="7"/>
        <v>43555</v>
      </c>
      <c r="B38" s="91">
        <f t="shared" si="11"/>
        <v>5</v>
      </c>
      <c r="D38" s="5">
        <f t="shared" ref="D38:D73" si="13">+D34*(1+$D$17)</f>
        <v>53.818269833064953</v>
      </c>
      <c r="E38" s="5">
        <f t="shared" ref="E38:E73" si="14">+E34*(1+$E$17)</f>
        <v>171.42328323317068</v>
      </c>
      <c r="F38" s="5">
        <f t="shared" ref="F38:H57" si="15">+F34*(1+$F$17)</f>
        <v>178.8125745961546</v>
      </c>
      <c r="G38" s="5">
        <f t="shared" si="15"/>
        <v>17.795827139520117</v>
      </c>
      <c r="H38" s="5">
        <f t="shared" si="15"/>
        <v>102.98007749970452</v>
      </c>
      <c r="I38" s="5"/>
      <c r="J38" s="5"/>
      <c r="K38" s="15">
        <f t="shared" si="9"/>
        <v>524.83003230161489</v>
      </c>
      <c r="L38" s="14">
        <f t="shared" si="12"/>
        <v>2414.6502528140331</v>
      </c>
      <c r="M38" s="13">
        <f t="shared" si="10"/>
        <v>0.41413865168862452</v>
      </c>
    </row>
    <row r="39" spans="1:16">
      <c r="A39" s="16">
        <f t="shared" si="7"/>
        <v>43646</v>
      </c>
      <c r="B39" s="91">
        <f t="shared" si="11"/>
        <v>6</v>
      </c>
      <c r="D39" s="5">
        <f t="shared" si="13"/>
        <v>48.81657189318917</v>
      </c>
      <c r="E39" s="5">
        <f t="shared" si="14"/>
        <v>94.179115606759623</v>
      </c>
      <c r="F39" s="5">
        <f t="shared" si="15"/>
        <v>140.54486594449949</v>
      </c>
      <c r="G39" s="5">
        <f t="shared" si="15"/>
        <v>7.6823033624118038</v>
      </c>
      <c r="H39" s="5">
        <f t="shared" si="15"/>
        <v>102.98007749970452</v>
      </c>
      <c r="I39" s="5"/>
      <c r="J39" s="5"/>
      <c r="K39" s="15">
        <f t="shared" si="9"/>
        <v>394.2029343065646</v>
      </c>
      <c r="L39" s="14">
        <f t="shared" si="12"/>
        <v>2808.8531871205978</v>
      </c>
      <c r="M39" s="13">
        <f t="shared" si="10"/>
        <v>0.35601718330644283</v>
      </c>
    </row>
    <row r="40" spans="1:16">
      <c r="A40" s="16">
        <f t="shared" si="7"/>
        <v>43738</v>
      </c>
      <c r="B40" s="91">
        <f t="shared" si="11"/>
        <v>7</v>
      </c>
      <c r="D40" s="5">
        <f t="shared" si="13"/>
        <v>47.015960634833604</v>
      </c>
      <c r="E40" s="5">
        <f t="shared" si="14"/>
        <v>107.59676552329363</v>
      </c>
      <c r="F40" s="5">
        <f t="shared" si="15"/>
        <v>158.95861133994055</v>
      </c>
      <c r="G40" s="5">
        <f t="shared" si="15"/>
        <v>9.7494329757431828</v>
      </c>
      <c r="H40" s="5">
        <f t="shared" si="15"/>
        <v>102.98007749970452</v>
      </c>
      <c r="I40" s="5"/>
      <c r="J40" s="5"/>
      <c r="K40" s="15">
        <f t="shared" si="9"/>
        <v>426.30084797351549</v>
      </c>
      <c r="L40" s="14">
        <f t="shared" si="12"/>
        <v>3235.1540350941132</v>
      </c>
      <c r="M40" s="13">
        <f t="shared" si="10"/>
        <v>0.30910429276388668</v>
      </c>
    </row>
    <row r="41" spans="1:16">
      <c r="A41" s="16">
        <f t="shared" si="7"/>
        <v>43830</v>
      </c>
      <c r="B41" s="91">
        <f t="shared" si="11"/>
        <v>8</v>
      </c>
      <c r="D41" s="5">
        <f t="shared" si="13"/>
        <v>50.417115233949332</v>
      </c>
      <c r="E41" s="5">
        <f t="shared" si="14"/>
        <v>148.75599894358783</v>
      </c>
      <c r="F41" s="5">
        <f t="shared" si="15"/>
        <v>217.08428935183346</v>
      </c>
      <c r="G41" s="5">
        <f t="shared" si="15"/>
        <v>25.248924901647865</v>
      </c>
      <c r="H41" s="5">
        <f t="shared" si="15"/>
        <v>102.98007749970452</v>
      </c>
      <c r="I41" s="5"/>
      <c r="J41" s="5"/>
      <c r="K41" s="15">
        <f t="shared" si="9"/>
        <v>544.48640593072309</v>
      </c>
      <c r="L41" s="14">
        <f t="shared" si="12"/>
        <v>3779.640441024836</v>
      </c>
      <c r="M41" s="13">
        <f t="shared" si="10"/>
        <v>0.26457543134152028</v>
      </c>
    </row>
    <row r="42" spans="1:16">
      <c r="A42" s="16">
        <f t="shared" si="7"/>
        <v>43921</v>
      </c>
      <c r="B42" s="91">
        <f t="shared" si="11"/>
        <v>9</v>
      </c>
      <c r="D42" s="5">
        <f t="shared" si="13"/>
        <v>53.818269833064953</v>
      </c>
      <c r="E42" s="5">
        <f t="shared" si="14"/>
        <v>171.42328323317068</v>
      </c>
      <c r="F42" s="5">
        <f t="shared" si="15"/>
        <v>178.8125745961546</v>
      </c>
      <c r="G42" s="5">
        <f t="shared" si="15"/>
        <v>17.795827139520117</v>
      </c>
      <c r="H42" s="5">
        <f t="shared" si="15"/>
        <v>102.98007749970452</v>
      </c>
      <c r="I42" s="5"/>
      <c r="J42" s="5"/>
      <c r="K42" s="15">
        <f t="shared" si="9"/>
        <v>524.83003230161489</v>
      </c>
      <c r="L42" s="14">
        <f t="shared" si="12"/>
        <v>4304.4704733264507</v>
      </c>
      <c r="M42" s="13">
        <f t="shared" si="10"/>
        <v>0.23231661273940862</v>
      </c>
    </row>
    <row r="43" spans="1:16">
      <c r="A43" s="16">
        <f t="shared" si="7"/>
        <v>44012</v>
      </c>
      <c r="B43" s="91">
        <f t="shared" si="11"/>
        <v>10</v>
      </c>
      <c r="D43" s="5">
        <f t="shared" si="13"/>
        <v>48.81657189318917</v>
      </c>
      <c r="E43" s="5">
        <f t="shared" si="14"/>
        <v>94.179115606759623</v>
      </c>
      <c r="F43" s="5">
        <f t="shared" si="15"/>
        <v>140.54486594449949</v>
      </c>
      <c r="G43" s="5">
        <f t="shared" si="15"/>
        <v>7.6823033624118038</v>
      </c>
      <c r="H43" s="5">
        <f t="shared" si="15"/>
        <v>102.98007749970452</v>
      </c>
      <c r="I43" s="5"/>
      <c r="J43" s="5"/>
      <c r="K43" s="15">
        <f t="shared" si="9"/>
        <v>394.2029343065646</v>
      </c>
      <c r="L43" s="14">
        <f t="shared" si="12"/>
        <v>4698.6734076330149</v>
      </c>
      <c r="M43" s="13">
        <f t="shared" si="10"/>
        <v>0.21282602837973283</v>
      </c>
    </row>
    <row r="44" spans="1:16">
      <c r="A44" s="16">
        <f t="shared" si="7"/>
        <v>44104</v>
      </c>
      <c r="B44" s="91">
        <f t="shared" si="11"/>
        <v>11</v>
      </c>
      <c r="D44" s="5">
        <f t="shared" si="13"/>
        <v>47.015960634833604</v>
      </c>
      <c r="E44" s="5">
        <f t="shared" si="14"/>
        <v>107.59676552329363</v>
      </c>
      <c r="F44" s="5">
        <f t="shared" si="15"/>
        <v>158.95861133994055</v>
      </c>
      <c r="G44" s="5">
        <f t="shared" si="15"/>
        <v>9.7494329757431828</v>
      </c>
      <c r="H44" s="5">
        <f t="shared" si="15"/>
        <v>102.98007749970452</v>
      </c>
      <c r="I44" s="5"/>
      <c r="J44" s="5"/>
      <c r="K44" s="15">
        <f t="shared" si="9"/>
        <v>426.30084797351549</v>
      </c>
      <c r="L44" s="14">
        <f t="shared" si="12"/>
        <v>5124.9742556065303</v>
      </c>
      <c r="M44" s="13">
        <f t="shared" si="10"/>
        <v>0.19512293137980885</v>
      </c>
    </row>
    <row r="45" spans="1:16">
      <c r="A45" s="16">
        <f t="shared" si="7"/>
        <v>44196</v>
      </c>
      <c r="B45" s="91">
        <f t="shared" si="11"/>
        <v>12</v>
      </c>
      <c r="D45" s="5">
        <f t="shared" si="13"/>
        <v>50.417115233949332</v>
      </c>
      <c r="E45" s="5">
        <f t="shared" si="14"/>
        <v>148.75599894358783</v>
      </c>
      <c r="F45" s="5">
        <f t="shared" si="15"/>
        <v>217.08428935183346</v>
      </c>
      <c r="G45" s="5">
        <f t="shared" si="15"/>
        <v>25.248924901647865</v>
      </c>
      <c r="H45" s="5">
        <f t="shared" si="15"/>
        <v>102.98007749970452</v>
      </c>
      <c r="I45" s="5"/>
      <c r="J45" s="5"/>
      <c r="K45" s="15">
        <f t="shared" si="9"/>
        <v>544.48640593072309</v>
      </c>
      <c r="L45" s="14">
        <f t="shared" si="12"/>
        <v>5669.4606615372531</v>
      </c>
      <c r="M45" s="13">
        <f t="shared" si="10"/>
        <v>0.17638362089434689</v>
      </c>
      <c r="P45" s="1" t="s">
        <v>178</v>
      </c>
    </row>
    <row r="46" spans="1:16">
      <c r="A46" s="16">
        <f t="shared" si="7"/>
        <v>44286</v>
      </c>
      <c r="B46" s="91">
        <f t="shared" si="11"/>
        <v>13</v>
      </c>
      <c r="D46" s="5">
        <f t="shared" si="13"/>
        <v>53.818269833064953</v>
      </c>
      <c r="E46" s="5">
        <f t="shared" si="14"/>
        <v>171.42328323317068</v>
      </c>
      <c r="F46" s="5">
        <f t="shared" si="15"/>
        <v>178.8125745961546</v>
      </c>
      <c r="G46" s="5">
        <f t="shared" si="15"/>
        <v>17.795827139520117</v>
      </c>
      <c r="H46" s="5">
        <f t="shared" si="15"/>
        <v>102.98007749970452</v>
      </c>
      <c r="I46" s="5"/>
      <c r="J46" s="5"/>
      <c r="K46" s="15">
        <f t="shared" si="9"/>
        <v>524.83003230161489</v>
      </c>
      <c r="L46" s="14">
        <f t="shared" si="12"/>
        <v>6194.2906938388678</v>
      </c>
      <c r="M46" s="13">
        <f t="shared" si="10"/>
        <v>0.1614389846112077</v>
      </c>
    </row>
    <row r="47" spans="1:16">
      <c r="A47" s="16">
        <f t="shared" si="7"/>
        <v>44377</v>
      </c>
      <c r="B47" s="91">
        <f t="shared" si="11"/>
        <v>14</v>
      </c>
      <c r="D47" s="5">
        <f t="shared" si="13"/>
        <v>48.81657189318917</v>
      </c>
      <c r="E47" s="5">
        <f t="shared" si="14"/>
        <v>94.179115606759623</v>
      </c>
      <c r="F47" s="5">
        <f t="shared" si="15"/>
        <v>140.54486594449949</v>
      </c>
      <c r="G47" s="5">
        <f t="shared" si="15"/>
        <v>7.6823033624118038</v>
      </c>
      <c r="H47" s="5">
        <f t="shared" si="15"/>
        <v>102.98007749970452</v>
      </c>
      <c r="I47" s="5"/>
      <c r="J47" s="5"/>
      <c r="K47" s="15">
        <f t="shared" si="9"/>
        <v>394.2029343065646</v>
      </c>
      <c r="L47" s="14">
        <f t="shared" si="12"/>
        <v>6588.493628145432</v>
      </c>
      <c r="M47" s="13">
        <f t="shared" si="10"/>
        <v>0.15177976278645744</v>
      </c>
    </row>
    <row r="48" spans="1:16">
      <c r="A48" s="16">
        <f t="shared" si="7"/>
        <v>44469</v>
      </c>
      <c r="B48" s="91">
        <f t="shared" si="11"/>
        <v>15</v>
      </c>
      <c r="D48" s="5">
        <f t="shared" si="13"/>
        <v>47.015960634833604</v>
      </c>
      <c r="E48" s="5">
        <f t="shared" si="14"/>
        <v>107.59676552329363</v>
      </c>
      <c r="F48" s="5">
        <f t="shared" si="15"/>
        <v>158.95861133994055</v>
      </c>
      <c r="G48" s="5">
        <f t="shared" si="15"/>
        <v>9.7494329757431828</v>
      </c>
      <c r="H48" s="5">
        <f t="shared" si="15"/>
        <v>102.98007749970452</v>
      </c>
      <c r="I48" s="5"/>
      <c r="J48" s="5"/>
      <c r="K48" s="15">
        <f t="shared" si="9"/>
        <v>426.30084797351549</v>
      </c>
      <c r="L48" s="14">
        <f t="shared" si="12"/>
        <v>7014.7944761189474</v>
      </c>
      <c r="M48" s="13">
        <f t="shared" si="10"/>
        <v>0.14255585155122988</v>
      </c>
    </row>
    <row r="49" spans="1:13">
      <c r="A49" s="16">
        <f t="shared" si="7"/>
        <v>44561</v>
      </c>
      <c r="B49" s="91">
        <f t="shared" si="11"/>
        <v>16</v>
      </c>
      <c r="D49" s="5">
        <f t="shared" si="13"/>
        <v>50.417115233949332</v>
      </c>
      <c r="E49" s="5">
        <f t="shared" si="14"/>
        <v>148.75599894358783</v>
      </c>
      <c r="F49" s="5">
        <f t="shared" si="15"/>
        <v>217.08428935183346</v>
      </c>
      <c r="G49" s="5">
        <f t="shared" si="15"/>
        <v>25.248924901647865</v>
      </c>
      <c r="H49" s="5">
        <f t="shared" si="15"/>
        <v>102.98007749970452</v>
      </c>
      <c r="I49" s="5"/>
      <c r="J49" s="5"/>
      <c r="K49" s="15">
        <f t="shared" si="9"/>
        <v>544.48640593072309</v>
      </c>
      <c r="L49" s="14">
        <f t="shared" si="12"/>
        <v>7559.2808820496703</v>
      </c>
      <c r="M49" s="13">
        <f t="shared" si="10"/>
        <v>0.13228771567076017</v>
      </c>
    </row>
    <row r="50" spans="1:13">
      <c r="A50" s="16">
        <f t="shared" si="7"/>
        <v>44651</v>
      </c>
      <c r="B50" s="91">
        <f t="shared" si="11"/>
        <v>17</v>
      </c>
      <c r="D50" s="5">
        <f t="shared" si="13"/>
        <v>53.818269833064953</v>
      </c>
      <c r="E50" s="5">
        <f t="shared" si="14"/>
        <v>171.42328323317068</v>
      </c>
      <c r="F50" s="5">
        <f t="shared" si="15"/>
        <v>178.8125745961546</v>
      </c>
      <c r="G50" s="5">
        <f t="shared" si="15"/>
        <v>17.795827139520117</v>
      </c>
      <c r="H50" s="5">
        <f t="shared" si="15"/>
        <v>102.98007749970452</v>
      </c>
      <c r="I50" s="5"/>
      <c r="J50" s="5"/>
      <c r="K50" s="15">
        <f t="shared" si="9"/>
        <v>524.83003230161489</v>
      </c>
      <c r="L50" s="14">
        <f t="shared" si="12"/>
        <v>8084.1109143512849</v>
      </c>
      <c r="M50" s="13">
        <f t="shared" si="10"/>
        <v>0.12369944086550744</v>
      </c>
    </row>
    <row r="51" spans="1:13">
      <c r="A51" s="16">
        <f t="shared" si="7"/>
        <v>44742</v>
      </c>
      <c r="B51" s="91">
        <f t="shared" si="11"/>
        <v>18</v>
      </c>
      <c r="D51" s="5">
        <f t="shared" si="13"/>
        <v>48.81657189318917</v>
      </c>
      <c r="E51" s="5">
        <f t="shared" si="14"/>
        <v>94.179115606759623</v>
      </c>
      <c r="F51" s="5">
        <f t="shared" si="15"/>
        <v>140.54486594449949</v>
      </c>
      <c r="G51" s="5">
        <f t="shared" si="15"/>
        <v>7.6823033624118038</v>
      </c>
      <c r="H51" s="5">
        <f t="shared" si="15"/>
        <v>102.98007749970452</v>
      </c>
      <c r="I51" s="5"/>
      <c r="J51" s="5"/>
      <c r="K51" s="15">
        <f t="shared" si="9"/>
        <v>394.2029343065646</v>
      </c>
      <c r="L51" s="14">
        <f t="shared" si="12"/>
        <v>8478.31384865785</v>
      </c>
      <c r="M51" s="13">
        <f t="shared" si="10"/>
        <v>0.11794798091348127</v>
      </c>
    </row>
    <row r="52" spans="1:13">
      <c r="A52" s="16">
        <f t="shared" si="7"/>
        <v>44834</v>
      </c>
      <c r="B52" s="91">
        <f t="shared" si="11"/>
        <v>19</v>
      </c>
      <c r="D52" s="5">
        <f t="shared" si="13"/>
        <v>47.015960634833604</v>
      </c>
      <c r="E52" s="5">
        <f t="shared" si="14"/>
        <v>107.59676552329363</v>
      </c>
      <c r="F52" s="5">
        <f t="shared" si="15"/>
        <v>158.95861133994055</v>
      </c>
      <c r="G52" s="5">
        <f t="shared" si="15"/>
        <v>9.7494329757431828</v>
      </c>
      <c r="H52" s="5">
        <f t="shared" si="15"/>
        <v>102.98007749970452</v>
      </c>
      <c r="I52" s="5"/>
      <c r="J52" s="5"/>
      <c r="K52" s="15">
        <f t="shared" si="9"/>
        <v>426.30084797351549</v>
      </c>
      <c r="L52" s="14">
        <f t="shared" si="12"/>
        <v>8904.6146966313663</v>
      </c>
      <c r="M52" s="13">
        <f t="shared" si="10"/>
        <v>0.11230132173807611</v>
      </c>
    </row>
    <row r="53" spans="1:13">
      <c r="A53" s="16">
        <f t="shared" si="7"/>
        <v>44926</v>
      </c>
      <c r="B53" s="91">
        <f t="shared" si="11"/>
        <v>20</v>
      </c>
      <c r="D53" s="5">
        <f t="shared" si="13"/>
        <v>50.417115233949332</v>
      </c>
      <c r="E53" s="5">
        <f t="shared" si="14"/>
        <v>148.75599894358783</v>
      </c>
      <c r="F53" s="5">
        <f t="shared" si="15"/>
        <v>217.08428935183346</v>
      </c>
      <c r="G53" s="5">
        <f t="shared" si="15"/>
        <v>25.248924901647865</v>
      </c>
      <c r="H53" s="5">
        <f t="shared" si="15"/>
        <v>102.98007749970452</v>
      </c>
      <c r="I53" s="5"/>
      <c r="J53" s="5"/>
      <c r="K53" s="15">
        <f t="shared" si="9"/>
        <v>544.48640593072309</v>
      </c>
      <c r="L53" s="14">
        <f t="shared" si="12"/>
        <v>9449.1011025620901</v>
      </c>
      <c r="M53" s="13">
        <f t="shared" si="10"/>
        <v>0.10583017253660812</v>
      </c>
    </row>
    <row r="54" spans="1:13">
      <c r="A54" s="16">
        <f t="shared" si="7"/>
        <v>45016</v>
      </c>
      <c r="B54" s="91">
        <f t="shared" si="11"/>
        <v>21</v>
      </c>
      <c r="D54" s="5">
        <f t="shared" si="13"/>
        <v>53.818269833064953</v>
      </c>
      <c r="E54" s="5">
        <f t="shared" si="14"/>
        <v>171.42328323317068</v>
      </c>
      <c r="F54" s="5">
        <f t="shared" si="15"/>
        <v>178.8125745961546</v>
      </c>
      <c r="G54" s="5">
        <f t="shared" si="15"/>
        <v>17.795827139520117</v>
      </c>
      <c r="H54" s="5">
        <f t="shared" si="15"/>
        <v>102.98007749970452</v>
      </c>
      <c r="I54" s="5"/>
      <c r="J54" s="5"/>
      <c r="K54" s="15">
        <f t="shared" si="9"/>
        <v>524.83003230161489</v>
      </c>
      <c r="L54" s="14">
        <f t="shared" si="12"/>
        <v>9973.9311348637057</v>
      </c>
      <c r="M54" s="13">
        <f t="shared" si="10"/>
        <v>0.10026137001332575</v>
      </c>
    </row>
    <row r="55" spans="1:13">
      <c r="A55" s="16">
        <f t="shared" si="7"/>
        <v>45107</v>
      </c>
      <c r="B55" s="91">
        <f t="shared" si="11"/>
        <v>22</v>
      </c>
      <c r="D55" s="5">
        <f t="shared" si="13"/>
        <v>48.81657189318917</v>
      </c>
      <c r="E55" s="5">
        <f t="shared" si="14"/>
        <v>94.179115606759623</v>
      </c>
      <c r="F55" s="5">
        <f t="shared" si="15"/>
        <v>140.54486594449949</v>
      </c>
      <c r="G55" s="5">
        <f t="shared" si="15"/>
        <v>7.6823033624118038</v>
      </c>
      <c r="H55" s="5">
        <f t="shared" si="15"/>
        <v>102.98007749970452</v>
      </c>
      <c r="I55" s="5"/>
      <c r="J55" s="5"/>
      <c r="K55" s="15">
        <f t="shared" si="9"/>
        <v>394.2029343065646</v>
      </c>
      <c r="L55" s="14">
        <f t="shared" si="12"/>
        <v>10368.13406917027</v>
      </c>
      <c r="M55" s="13">
        <f t="shared" si="10"/>
        <v>9.6449370091915385E-2</v>
      </c>
    </row>
    <row r="56" spans="1:13">
      <c r="A56" s="16">
        <f t="shared" si="7"/>
        <v>45199</v>
      </c>
      <c r="B56" s="91">
        <f t="shared" si="11"/>
        <v>23</v>
      </c>
      <c r="D56" s="5">
        <f t="shared" si="13"/>
        <v>47.015960634833604</v>
      </c>
      <c r="E56" s="5">
        <f t="shared" si="14"/>
        <v>107.59676552329363</v>
      </c>
      <c r="F56" s="5">
        <f t="shared" si="15"/>
        <v>158.95861133994055</v>
      </c>
      <c r="G56" s="5">
        <f t="shared" si="15"/>
        <v>9.7494329757431828</v>
      </c>
      <c r="H56" s="5">
        <f t="shared" si="15"/>
        <v>102.98007749970452</v>
      </c>
      <c r="I56" s="5"/>
      <c r="J56" s="5"/>
      <c r="K56" s="15">
        <f t="shared" si="9"/>
        <v>426.30084797351549</v>
      </c>
      <c r="L56" s="14">
        <f t="shared" si="12"/>
        <v>10794.434917143786</v>
      </c>
      <c r="M56" s="13">
        <f t="shared" si="10"/>
        <v>9.2640328806077102E-2</v>
      </c>
    </row>
    <row r="57" spans="1:13">
      <c r="A57" s="16">
        <f t="shared" si="7"/>
        <v>45291</v>
      </c>
      <c r="B57" s="91">
        <f t="shared" si="11"/>
        <v>24</v>
      </c>
      <c r="D57" s="5">
        <f t="shared" si="13"/>
        <v>50.417115233949332</v>
      </c>
      <c r="E57" s="5">
        <f t="shared" si="14"/>
        <v>148.75599894358783</v>
      </c>
      <c r="F57" s="5">
        <f t="shared" si="15"/>
        <v>217.08428935183346</v>
      </c>
      <c r="G57" s="5">
        <f t="shared" si="15"/>
        <v>25.248924901647865</v>
      </c>
      <c r="H57" s="5">
        <f t="shared" si="15"/>
        <v>102.98007749970452</v>
      </c>
      <c r="I57" s="5"/>
      <c r="J57" s="5"/>
      <c r="K57" s="15">
        <f t="shared" si="9"/>
        <v>544.48640593072309</v>
      </c>
      <c r="L57" s="14">
        <f t="shared" si="12"/>
        <v>11338.92132307451</v>
      </c>
      <c r="M57" s="13">
        <f t="shared" si="10"/>
        <v>8.8191810447173419E-2</v>
      </c>
    </row>
    <row r="58" spans="1:13">
      <c r="A58" s="16">
        <f t="shared" si="7"/>
        <v>45382</v>
      </c>
      <c r="B58" s="91">
        <f t="shared" si="11"/>
        <v>25</v>
      </c>
      <c r="D58" s="5">
        <f t="shared" si="13"/>
        <v>53.818269833064953</v>
      </c>
      <c r="E58" s="5">
        <f t="shared" si="14"/>
        <v>171.42328323317068</v>
      </c>
      <c r="F58" s="5">
        <f t="shared" ref="F58:H73" si="16">+F54*(1+$F$17)</f>
        <v>178.8125745961546</v>
      </c>
      <c r="G58" s="5">
        <f t="shared" si="16"/>
        <v>17.795827139520117</v>
      </c>
      <c r="H58" s="5">
        <f t="shared" si="16"/>
        <v>102.98007749970452</v>
      </c>
      <c r="I58" s="5"/>
      <c r="J58" s="5"/>
      <c r="K58" s="15">
        <f t="shared" si="9"/>
        <v>524.83003230161489</v>
      </c>
      <c r="L58" s="14">
        <f t="shared" si="12"/>
        <v>11863.751355376126</v>
      </c>
      <c r="M58" s="13">
        <f t="shared" si="10"/>
        <v>8.4290370730573716E-2</v>
      </c>
    </row>
    <row r="59" spans="1:13">
      <c r="A59" s="16">
        <f t="shared" si="7"/>
        <v>45473</v>
      </c>
      <c r="B59" s="91">
        <f t="shared" si="11"/>
        <v>26</v>
      </c>
      <c r="D59" s="5">
        <f t="shared" si="13"/>
        <v>48.81657189318917</v>
      </c>
      <c r="E59" s="5">
        <f t="shared" si="14"/>
        <v>94.179115606759623</v>
      </c>
      <c r="F59" s="5">
        <f t="shared" si="16"/>
        <v>140.54486594449949</v>
      </c>
      <c r="G59" s="5">
        <f t="shared" si="16"/>
        <v>7.6823033624118038</v>
      </c>
      <c r="H59" s="5">
        <f t="shared" si="16"/>
        <v>102.98007749970452</v>
      </c>
      <c r="I59" s="5"/>
      <c r="J59" s="5"/>
      <c r="K59" s="15">
        <f t="shared" si="9"/>
        <v>394.2029343065646</v>
      </c>
      <c r="L59" s="14">
        <f t="shared" si="12"/>
        <v>12257.95428968269</v>
      </c>
      <c r="M59" s="13">
        <f t="shared" si="10"/>
        <v>8.1579680945758043E-2</v>
      </c>
    </row>
    <row r="60" spans="1:13">
      <c r="A60" s="16">
        <f t="shared" si="7"/>
        <v>45565</v>
      </c>
      <c r="B60" s="91">
        <f t="shared" si="11"/>
        <v>27</v>
      </c>
      <c r="D60" s="5">
        <f t="shared" si="13"/>
        <v>47.015960634833604</v>
      </c>
      <c r="E60" s="5">
        <f t="shared" si="14"/>
        <v>107.59676552329363</v>
      </c>
      <c r="F60" s="5">
        <f t="shared" si="16"/>
        <v>158.95861133994055</v>
      </c>
      <c r="G60" s="5">
        <f t="shared" si="16"/>
        <v>9.7494329757431828</v>
      </c>
      <c r="H60" s="5">
        <f t="shared" si="16"/>
        <v>102.98007749970452</v>
      </c>
      <c r="I60" s="5"/>
      <c r="J60" s="5"/>
      <c r="K60" s="15">
        <f t="shared" si="9"/>
        <v>426.30084797351549</v>
      </c>
      <c r="L60" s="14">
        <f t="shared" si="12"/>
        <v>12684.255137656206</v>
      </c>
      <c r="M60" s="13">
        <f t="shared" si="10"/>
        <v>7.883789699493382E-2</v>
      </c>
    </row>
    <row r="61" spans="1:13">
      <c r="A61" s="16">
        <f t="shared" si="7"/>
        <v>45657</v>
      </c>
      <c r="B61" s="91">
        <f t="shared" si="11"/>
        <v>28</v>
      </c>
      <c r="D61" s="5">
        <f t="shared" si="13"/>
        <v>50.417115233949332</v>
      </c>
      <c r="E61" s="5">
        <f t="shared" si="14"/>
        <v>148.75599894358783</v>
      </c>
      <c r="F61" s="5">
        <f t="shared" si="16"/>
        <v>217.08428935183346</v>
      </c>
      <c r="G61" s="5">
        <f t="shared" si="16"/>
        <v>25.248924901647865</v>
      </c>
      <c r="H61" s="5">
        <f t="shared" si="16"/>
        <v>102.98007749970452</v>
      </c>
      <c r="I61" s="5"/>
      <c r="J61" s="5"/>
      <c r="K61" s="15">
        <f t="shared" si="9"/>
        <v>544.48640593072309</v>
      </c>
      <c r="L61" s="14">
        <f t="shared" si="12"/>
        <v>13228.74154358693</v>
      </c>
      <c r="M61" s="13">
        <f t="shared" si="10"/>
        <v>7.5592980383291486E-2</v>
      </c>
    </row>
    <row r="62" spans="1:13">
      <c r="A62" s="16">
        <f t="shared" si="7"/>
        <v>45747</v>
      </c>
      <c r="B62" s="91">
        <f t="shared" si="11"/>
        <v>29</v>
      </c>
      <c r="D62" s="5">
        <f t="shared" si="13"/>
        <v>53.818269833064953</v>
      </c>
      <c r="E62" s="5">
        <f t="shared" si="14"/>
        <v>171.42328323317068</v>
      </c>
      <c r="F62" s="5">
        <f t="shared" si="16"/>
        <v>178.8125745961546</v>
      </c>
      <c r="G62" s="5">
        <f t="shared" si="16"/>
        <v>17.795827139520117</v>
      </c>
      <c r="H62" s="5">
        <f t="shared" si="16"/>
        <v>102.98007749970452</v>
      </c>
      <c r="I62" s="5"/>
      <c r="J62" s="5"/>
      <c r="K62" s="15">
        <f t="shared" si="9"/>
        <v>524.83003230161489</v>
      </c>
      <c r="L62" s="14">
        <f t="shared" ref="L62:L73" si="17">+L61+K62</f>
        <v>13753.571575888545</v>
      </c>
      <c r="M62" s="13">
        <f t="shared" si="10"/>
        <v>7.2708386653042537E-2</v>
      </c>
    </row>
    <row r="63" spans="1:13">
      <c r="A63" s="16">
        <f t="shared" si="7"/>
        <v>45838</v>
      </c>
      <c r="B63" s="91">
        <f t="shared" si="11"/>
        <v>30</v>
      </c>
      <c r="D63" s="5">
        <f t="shared" si="13"/>
        <v>48.81657189318917</v>
      </c>
      <c r="E63" s="5">
        <f t="shared" si="14"/>
        <v>94.179115606759623</v>
      </c>
      <c r="F63" s="5">
        <f t="shared" si="16"/>
        <v>140.54486594449949</v>
      </c>
      <c r="G63" s="5">
        <f t="shared" si="16"/>
        <v>7.6823033624118038</v>
      </c>
      <c r="H63" s="5">
        <f t="shared" si="16"/>
        <v>102.98007749970452</v>
      </c>
      <c r="I63" s="5"/>
      <c r="J63" s="5"/>
      <c r="K63" s="15">
        <f t="shared" si="9"/>
        <v>394.2029343065646</v>
      </c>
      <c r="L63" s="14">
        <f t="shared" si="17"/>
        <v>14147.77451019511</v>
      </c>
      <c r="M63" s="13">
        <f t="shared" si="10"/>
        <v>7.068249492380474E-2</v>
      </c>
    </row>
    <row r="64" spans="1:13">
      <c r="A64" s="16">
        <f t="shared" si="7"/>
        <v>45930</v>
      </c>
      <c r="B64" s="91">
        <f t="shared" si="11"/>
        <v>31</v>
      </c>
      <c r="D64" s="5">
        <f t="shared" si="13"/>
        <v>47.015960634833604</v>
      </c>
      <c r="E64" s="5">
        <f t="shared" si="14"/>
        <v>107.59676552329363</v>
      </c>
      <c r="F64" s="5">
        <f t="shared" si="16"/>
        <v>158.95861133994055</v>
      </c>
      <c r="G64" s="5">
        <f t="shared" si="16"/>
        <v>9.7494329757431828</v>
      </c>
      <c r="H64" s="5">
        <f t="shared" si="16"/>
        <v>102.98007749970452</v>
      </c>
      <c r="I64" s="5"/>
      <c r="J64" s="5"/>
      <c r="K64" s="15">
        <f t="shared" si="9"/>
        <v>426.30084797351549</v>
      </c>
      <c r="L64" s="14">
        <f t="shared" si="17"/>
        <v>14574.075358168626</v>
      </c>
      <c r="M64" s="13">
        <f t="shared" si="10"/>
        <v>6.861498760122095E-2</v>
      </c>
    </row>
    <row r="65" spans="1:13">
      <c r="A65" s="16">
        <f t="shared" si="7"/>
        <v>46022</v>
      </c>
      <c r="B65" s="91">
        <f t="shared" si="11"/>
        <v>32</v>
      </c>
      <c r="D65" s="5">
        <f t="shared" si="13"/>
        <v>50.417115233949332</v>
      </c>
      <c r="E65" s="5">
        <f t="shared" si="14"/>
        <v>148.75599894358783</v>
      </c>
      <c r="F65" s="5">
        <f t="shared" si="16"/>
        <v>217.08428935183346</v>
      </c>
      <c r="G65" s="5">
        <f t="shared" si="16"/>
        <v>25.248924901647865</v>
      </c>
      <c r="H65" s="5">
        <f t="shared" si="16"/>
        <v>102.98007749970452</v>
      </c>
      <c r="I65" s="5"/>
      <c r="J65" s="5"/>
      <c r="K65" s="15">
        <f t="shared" si="9"/>
        <v>544.48640593072309</v>
      </c>
      <c r="L65" s="14">
        <f t="shared" si="17"/>
        <v>15118.56176409935</v>
      </c>
      <c r="M65" s="13">
        <f t="shared" si="10"/>
        <v>6.6143857835380057E-2</v>
      </c>
    </row>
    <row r="66" spans="1:13">
      <c r="A66" s="16">
        <f t="shared" si="7"/>
        <v>46112</v>
      </c>
      <c r="B66" s="91">
        <f t="shared" si="11"/>
        <v>33</v>
      </c>
      <c r="D66" s="5">
        <f t="shared" si="13"/>
        <v>53.818269833064953</v>
      </c>
      <c r="E66" s="5">
        <f t="shared" si="14"/>
        <v>171.42328323317068</v>
      </c>
      <c r="F66" s="5">
        <f t="shared" si="16"/>
        <v>178.8125745961546</v>
      </c>
      <c r="G66" s="5">
        <f t="shared" si="16"/>
        <v>17.795827139520117</v>
      </c>
      <c r="H66" s="5">
        <f t="shared" si="16"/>
        <v>102.98007749970452</v>
      </c>
      <c r="I66" s="5"/>
      <c r="J66" s="5"/>
      <c r="K66" s="15">
        <f t="shared" si="9"/>
        <v>524.83003230161489</v>
      </c>
      <c r="L66" s="14">
        <f t="shared" si="17"/>
        <v>15643.391796400965</v>
      </c>
      <c r="M66" s="13">
        <f t="shared" si="10"/>
        <v>6.3924755770041336E-2</v>
      </c>
    </row>
    <row r="67" spans="1:13">
      <c r="A67" s="16">
        <f t="shared" si="7"/>
        <v>46203</v>
      </c>
      <c r="B67" s="91">
        <f t="shared" si="11"/>
        <v>34</v>
      </c>
      <c r="D67" s="5">
        <f t="shared" si="13"/>
        <v>48.81657189318917</v>
      </c>
      <c r="E67" s="5">
        <f t="shared" si="14"/>
        <v>94.179115606759623</v>
      </c>
      <c r="F67" s="5">
        <f t="shared" si="16"/>
        <v>140.54486594449949</v>
      </c>
      <c r="G67" s="5">
        <f t="shared" si="16"/>
        <v>7.6823033624118038</v>
      </c>
      <c r="H67" s="5">
        <f t="shared" si="16"/>
        <v>102.98007749970452</v>
      </c>
      <c r="I67" s="5"/>
      <c r="J67" s="5"/>
      <c r="K67" s="15">
        <f t="shared" si="9"/>
        <v>394.2029343065646</v>
      </c>
      <c r="L67" s="14">
        <f t="shared" si="17"/>
        <v>16037.594730707529</v>
      </c>
      <c r="M67" s="13">
        <f t="shared" si="10"/>
        <v>6.2353489833813946E-2</v>
      </c>
    </row>
    <row r="68" spans="1:13">
      <c r="A68" s="16">
        <f t="shared" si="7"/>
        <v>46295</v>
      </c>
      <c r="B68" s="91">
        <f t="shared" si="11"/>
        <v>35</v>
      </c>
      <c r="D68" s="5">
        <f t="shared" si="13"/>
        <v>47.015960634833604</v>
      </c>
      <c r="E68" s="5">
        <f t="shared" si="14"/>
        <v>107.59676552329363</v>
      </c>
      <c r="F68" s="5">
        <f t="shared" si="16"/>
        <v>158.95861133994055</v>
      </c>
      <c r="G68" s="5">
        <f t="shared" si="16"/>
        <v>9.7494329757431828</v>
      </c>
      <c r="H68" s="5">
        <f t="shared" si="16"/>
        <v>102.98007749970452</v>
      </c>
      <c r="I68" s="5"/>
      <c r="J68" s="5"/>
      <c r="K68" s="15">
        <f t="shared" si="9"/>
        <v>426.30084797351549</v>
      </c>
      <c r="L68" s="14">
        <f t="shared" si="17"/>
        <v>16463.895578681044</v>
      </c>
      <c r="M68" s="13">
        <f t="shared" si="10"/>
        <v>6.0738966377732094E-2</v>
      </c>
    </row>
    <row r="69" spans="1:13">
      <c r="A69" s="16">
        <f t="shared" si="7"/>
        <v>46387</v>
      </c>
      <c r="B69" s="91">
        <f t="shared" si="11"/>
        <v>36</v>
      </c>
      <c r="D69" s="5">
        <f t="shared" si="13"/>
        <v>50.417115233949332</v>
      </c>
      <c r="E69" s="5">
        <f t="shared" si="14"/>
        <v>148.75599894358783</v>
      </c>
      <c r="F69" s="5">
        <f t="shared" si="16"/>
        <v>217.08428935183346</v>
      </c>
      <c r="G69" s="5">
        <f t="shared" si="16"/>
        <v>25.248924901647865</v>
      </c>
      <c r="H69" s="5">
        <f t="shared" si="16"/>
        <v>102.98007749970452</v>
      </c>
      <c r="I69" s="5"/>
      <c r="J69" s="5"/>
      <c r="K69" s="15">
        <f t="shared" si="9"/>
        <v>544.48640593072309</v>
      </c>
      <c r="L69" s="14">
        <f t="shared" si="17"/>
        <v>17008.381984611766</v>
      </c>
      <c r="M69" s="13">
        <f t="shared" si="10"/>
        <v>5.8794540298115608E-2</v>
      </c>
    </row>
    <row r="70" spans="1:13">
      <c r="A70" s="16">
        <f t="shared" si="7"/>
        <v>46477</v>
      </c>
      <c r="B70" s="91">
        <f t="shared" si="11"/>
        <v>37</v>
      </c>
      <c r="D70" s="5">
        <f t="shared" si="13"/>
        <v>53.818269833064953</v>
      </c>
      <c r="E70" s="5">
        <f t="shared" si="14"/>
        <v>171.42328323317068</v>
      </c>
      <c r="F70" s="5">
        <f t="shared" si="16"/>
        <v>178.8125745961546</v>
      </c>
      <c r="G70" s="5">
        <f t="shared" si="16"/>
        <v>17.795827139520117</v>
      </c>
      <c r="H70" s="5">
        <f t="shared" si="16"/>
        <v>102.98007749970452</v>
      </c>
      <c r="I70" s="5"/>
      <c r="J70" s="5"/>
      <c r="K70" s="15">
        <f t="shared" si="9"/>
        <v>524.83003230161489</v>
      </c>
      <c r="L70" s="14">
        <f t="shared" si="17"/>
        <v>17533.212016913381</v>
      </c>
      <c r="M70" s="13">
        <f t="shared" si="10"/>
        <v>5.7034615165512843E-2</v>
      </c>
    </row>
    <row r="71" spans="1:13">
      <c r="A71" s="16">
        <f t="shared" si="7"/>
        <v>46568</v>
      </c>
      <c r="B71" s="91">
        <f t="shared" si="11"/>
        <v>38</v>
      </c>
      <c r="D71" s="5">
        <f t="shared" si="13"/>
        <v>48.81657189318917</v>
      </c>
      <c r="E71" s="5">
        <f t="shared" si="14"/>
        <v>94.179115606759623</v>
      </c>
      <c r="F71" s="5">
        <f t="shared" si="16"/>
        <v>140.54486594449949</v>
      </c>
      <c r="G71" s="5">
        <f t="shared" si="16"/>
        <v>7.6823033624118038</v>
      </c>
      <c r="H71" s="5">
        <f t="shared" si="16"/>
        <v>102.98007749970452</v>
      </c>
      <c r="I71" s="5"/>
      <c r="J71" s="5"/>
      <c r="K71" s="15">
        <f t="shared" si="9"/>
        <v>394.2029343065646</v>
      </c>
      <c r="L71" s="14">
        <f t="shared" si="17"/>
        <v>17927.414951219947</v>
      </c>
      <c r="M71" s="13">
        <f t="shared" si="10"/>
        <v>5.578049053480244E-2</v>
      </c>
    </row>
    <row r="72" spans="1:13">
      <c r="A72" s="16">
        <f t="shared" si="7"/>
        <v>46660</v>
      </c>
      <c r="B72" s="91">
        <f t="shared" si="11"/>
        <v>39</v>
      </c>
      <c r="D72" s="5">
        <f t="shared" si="13"/>
        <v>47.015960634833604</v>
      </c>
      <c r="E72" s="5">
        <f t="shared" si="14"/>
        <v>107.59676552329363</v>
      </c>
      <c r="F72" s="5">
        <f t="shared" si="16"/>
        <v>158.95861133994055</v>
      </c>
      <c r="G72" s="5">
        <f t="shared" si="16"/>
        <v>9.7494329757431828</v>
      </c>
      <c r="H72" s="5">
        <f t="shared" si="16"/>
        <v>102.98007749970452</v>
      </c>
      <c r="I72" s="5"/>
      <c r="J72" s="5"/>
      <c r="K72" s="15">
        <f t="shared" si="9"/>
        <v>426.30084797351549</v>
      </c>
      <c r="L72" s="14">
        <f t="shared" si="17"/>
        <v>18353.715799193462</v>
      </c>
      <c r="M72" s="13">
        <f t="shared" si="10"/>
        <v>5.4484879843456228E-2</v>
      </c>
    </row>
    <row r="73" spans="1:13">
      <c r="A73" s="16">
        <f t="shared" si="7"/>
        <v>46752</v>
      </c>
      <c r="B73" s="91">
        <f t="shared" si="11"/>
        <v>40</v>
      </c>
      <c r="D73" s="5">
        <f t="shared" si="13"/>
        <v>50.417115233949332</v>
      </c>
      <c r="E73" s="5">
        <f t="shared" si="14"/>
        <v>148.75599894358783</v>
      </c>
      <c r="F73" s="5">
        <f t="shared" si="16"/>
        <v>217.08428935183346</v>
      </c>
      <c r="G73" s="5">
        <f t="shared" si="16"/>
        <v>25.248924901647865</v>
      </c>
      <c r="H73" s="5">
        <f t="shared" si="16"/>
        <v>102.98007749970452</v>
      </c>
      <c r="I73" s="5"/>
      <c r="J73" s="5"/>
      <c r="K73" s="15">
        <f t="shared" si="9"/>
        <v>544.48640593072309</v>
      </c>
      <c r="L73" s="14">
        <f t="shared" si="17"/>
        <v>18898.202205124184</v>
      </c>
      <c r="M73" s="13">
        <f t="shared" si="10"/>
        <v>5.2915086268304046E-2</v>
      </c>
    </row>
    <row r="74" spans="1:13">
      <c r="A74" s="16"/>
      <c r="B74" s="91"/>
      <c r="D74" s="5"/>
      <c r="E74" s="5"/>
      <c r="F74" s="5"/>
      <c r="G74" s="5"/>
      <c r="H74" s="5"/>
      <c r="I74" s="5"/>
      <c r="J74" s="15"/>
      <c r="K74" s="14"/>
      <c r="L74" s="13"/>
    </row>
    <row r="75" spans="1:13">
      <c r="A75" s="16"/>
      <c r="B75" s="91"/>
      <c r="D75" s="5"/>
      <c r="E75" s="5"/>
      <c r="F75" s="5"/>
      <c r="G75" s="5"/>
      <c r="H75" s="5"/>
      <c r="I75" s="5"/>
      <c r="J75" s="15"/>
      <c r="K75" s="14"/>
      <c r="L75" s="13"/>
    </row>
    <row r="76" spans="1:13">
      <c r="A76" s="16"/>
      <c r="B76" s="91"/>
      <c r="D76" s="5"/>
      <c r="E76" s="5"/>
      <c r="F76" s="5"/>
      <c r="G76" s="5"/>
      <c r="H76" s="5"/>
      <c r="I76" s="5"/>
      <c r="J76" s="15"/>
      <c r="K76" s="14"/>
      <c r="L76" s="13"/>
    </row>
    <row r="77" spans="1:13">
      <c r="A77" s="16"/>
      <c r="B77" s="91"/>
      <c r="D77" s="5"/>
      <c r="E77" s="5"/>
      <c r="F77" s="5"/>
      <c r="G77" s="5"/>
      <c r="H77" s="5"/>
      <c r="I77" s="5"/>
      <c r="J77" s="15"/>
      <c r="K77" s="14"/>
      <c r="L77" s="13"/>
    </row>
    <row r="78" spans="1:13">
      <c r="A78" s="16"/>
      <c r="B78" s="91"/>
      <c r="D78" s="5"/>
      <c r="E78" s="5"/>
      <c r="F78" s="5"/>
      <c r="G78" s="5"/>
      <c r="H78" s="5"/>
      <c r="I78" s="5"/>
      <c r="J78" s="15"/>
      <c r="K78" s="14"/>
      <c r="L78" s="13"/>
    </row>
    <row r="79" spans="1:13">
      <c r="A79" s="16"/>
      <c r="B79" s="91"/>
      <c r="D79" s="5"/>
      <c r="E79" s="5"/>
      <c r="F79" s="5"/>
      <c r="G79" s="5"/>
      <c r="H79" s="5"/>
      <c r="I79" s="5"/>
      <c r="J79" s="15"/>
      <c r="K79" s="14"/>
      <c r="L79" s="13"/>
    </row>
    <row r="80" spans="1:13">
      <c r="A80" s="16"/>
      <c r="B80" s="91"/>
      <c r="D80" s="5"/>
      <c r="E80" s="5"/>
      <c r="F80" s="5"/>
      <c r="G80" s="5"/>
      <c r="H80" s="5"/>
      <c r="I80" s="5"/>
      <c r="J80" s="15"/>
      <c r="K80" s="14"/>
      <c r="L80" s="1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7"/>
  <sheetViews>
    <sheetView zoomScale="80" zoomScaleNormal="80" workbookViewId="0">
      <selection activeCell="D47" sqref="D47"/>
    </sheetView>
  </sheetViews>
  <sheetFormatPr defaultColWidth="8.875" defaultRowHeight="14.25"/>
  <cols>
    <col min="1" max="1" width="8.875" style="105"/>
    <col min="2" max="2" width="28" style="105" bestFit="1" customWidth="1"/>
    <col min="3" max="3" width="23.125" style="105" customWidth="1"/>
    <col min="4" max="4" width="20.625" style="105" bestFit="1" customWidth="1"/>
    <col min="5" max="5" width="18" style="105" customWidth="1"/>
    <col min="6" max="6" width="16.5" style="105" customWidth="1"/>
    <col min="7" max="7" width="18.375" style="105" customWidth="1"/>
    <col min="8" max="8" width="24" style="105" customWidth="1"/>
    <col min="9" max="9" width="36" style="105" customWidth="1"/>
    <col min="10" max="16384" width="8.875" style="105"/>
  </cols>
  <sheetData>
    <row r="1" spans="1:6">
      <c r="B1" s="106"/>
      <c r="C1" s="106"/>
      <c r="D1" s="106"/>
      <c r="E1" s="106"/>
    </row>
    <row r="2" spans="1:6" ht="39" customHeight="1">
      <c r="A2" s="106"/>
      <c r="B2" s="372" t="s">
        <v>179</v>
      </c>
      <c r="C2" s="372"/>
      <c r="D2" s="106"/>
    </row>
    <row r="3" spans="1:6" ht="20.25" customHeight="1">
      <c r="B3" s="111" t="s">
        <v>180</v>
      </c>
      <c r="C3" s="106"/>
      <c r="D3" s="106"/>
    </row>
    <row r="4" spans="1:6" ht="27.75" customHeight="1">
      <c r="B4" s="139" t="s">
        <v>181</v>
      </c>
      <c r="C4" s="141">
        <f>Inputs!B5</f>
        <v>255</v>
      </c>
      <c r="D4" s="106"/>
    </row>
    <row r="5" spans="1:6" ht="26.25" customHeight="1">
      <c r="B5" s="139" t="s">
        <v>182</v>
      </c>
      <c r="C5" s="142">
        <f>Inputs!B6</f>
        <v>220</v>
      </c>
      <c r="D5" s="106"/>
    </row>
    <row r="6" spans="1:6" ht="24" customHeight="1">
      <c r="B6" s="139" t="s">
        <v>46</v>
      </c>
      <c r="C6" s="138">
        <f>Inputs!B30</f>
        <v>14000</v>
      </c>
      <c r="D6" s="106"/>
    </row>
    <row r="7" spans="1:6" ht="24" customHeight="1">
      <c r="B7" s="111" t="s">
        <v>183</v>
      </c>
      <c r="C7" s="106"/>
      <c r="D7" s="106"/>
    </row>
    <row r="8" spans="1:6" ht="21" customHeight="1">
      <c r="B8" s="139" t="s">
        <v>184</v>
      </c>
      <c r="C8" s="145">
        <f>'Protection Calculation'!$C$17-'Protection Calculation'!$C$18*$C$4</f>
        <v>9.8519000000000005</v>
      </c>
      <c r="D8" s="106"/>
    </row>
    <row r="9" spans="1:6" ht="27" customHeight="1">
      <c r="B9" s="139" t="s">
        <v>185</v>
      </c>
      <c r="C9" s="137">
        <f>C6/C8</f>
        <v>1421.0456866188247</v>
      </c>
      <c r="D9" s="106"/>
    </row>
    <row r="10" spans="1:6" ht="27" customHeight="1">
      <c r="B10" s="139" t="s">
        <v>186</v>
      </c>
      <c r="C10" s="137">
        <f>C6/C11</f>
        <v>1009.1253766200064</v>
      </c>
      <c r="D10" s="106"/>
    </row>
    <row r="11" spans="1:6" ht="30.75" customHeight="1">
      <c r="B11" s="139" t="s">
        <v>187</v>
      </c>
      <c r="C11" s="143">
        <f>'Protection Calculation'!$C$17-'Protection Calculation'!$C$18*$C$5</f>
        <v>13.873400000000004</v>
      </c>
      <c r="D11" s="106"/>
      <c r="E11" s="109"/>
      <c r="F11" s="108"/>
    </row>
    <row r="12" spans="1:6" ht="30" customHeight="1">
      <c r="B12" s="140" t="s">
        <v>188</v>
      </c>
      <c r="C12" s="143">
        <f>C11-C8</f>
        <v>4.0215000000000032</v>
      </c>
      <c r="D12" s="106"/>
    </row>
    <row r="13" spans="1:6" ht="36.75" customHeight="1">
      <c r="B13" s="140" t="s">
        <v>189</v>
      </c>
      <c r="C13" s="137">
        <f>C12*C9</f>
        <v>5714.7352287376079</v>
      </c>
      <c r="D13" s="106"/>
    </row>
    <row r="14" spans="1:6" ht="28.5" customHeight="1">
      <c r="B14" s="139" t="s">
        <v>190</v>
      </c>
      <c r="C14" s="137">
        <f>C13/C11</f>
        <v>411.92030999881837</v>
      </c>
      <c r="D14" s="106"/>
    </row>
    <row r="15" spans="1:6" ht="21.75" customHeight="1">
      <c r="B15" s="106"/>
    </row>
    <row r="16" spans="1:6" ht="32.25" customHeight="1">
      <c r="B16" s="110" t="s">
        <v>191</v>
      </c>
      <c r="C16" s="135" t="s">
        <v>192</v>
      </c>
      <c r="D16" s="106"/>
    </row>
    <row r="17" spans="1:4">
      <c r="B17" s="1" t="s">
        <v>193</v>
      </c>
      <c r="C17" s="1">
        <v>39.151400000000002</v>
      </c>
    </row>
    <row r="18" spans="1:4">
      <c r="B18" s="1" t="s">
        <v>194</v>
      </c>
      <c r="C18" s="1">
        <v>0.1149</v>
      </c>
    </row>
    <row r="19" spans="1:4" ht="37.5" customHeight="1">
      <c r="B19" s="107" t="s">
        <v>195</v>
      </c>
      <c r="C19" s="106"/>
    </row>
    <row r="24" spans="1:4">
      <c r="A24" s="106"/>
    </row>
    <row r="25" spans="1:4">
      <c r="A25" s="106"/>
    </row>
    <row r="26" spans="1:4">
      <c r="A26" s="106"/>
    </row>
    <row r="27" spans="1:4">
      <c r="B27" s="106"/>
      <c r="C27" s="106"/>
      <c r="D27" s="106"/>
    </row>
  </sheetData>
  <sheetProtection algorithmName="SHA-512" hashValue="yQ6o4DwQmbEIsvKok5N/amyDYgfgrAB0OevviCpyK2ikkJQDiHeWvgEHNNrxf5t1wPr028+nUm/TPKin+4Qd0A==" saltValue="F5xBxy+7MWZ12gx1SZas/A==" spinCount="100000" sheet="1" objects="1" scenarios="1"/>
  <mergeCells count="1">
    <mergeCell ref="B2:C2"/>
  </mergeCell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Z88"/>
  <sheetViews>
    <sheetView topLeftCell="A19" zoomScale="80" zoomScaleNormal="80" workbookViewId="0">
      <selection activeCell="D47" sqref="D47"/>
    </sheetView>
  </sheetViews>
  <sheetFormatPr defaultColWidth="8.875" defaultRowHeight="13.15"/>
  <cols>
    <col min="1" max="1" width="8.875" style="1"/>
    <col min="2" max="2" width="11.375" style="1" customWidth="1"/>
    <col min="3" max="3" width="21.75" style="1" customWidth="1"/>
    <col min="4" max="4" width="31.625" style="1" bestFit="1" customWidth="1"/>
    <col min="5" max="5" width="25.875" style="1" bestFit="1" customWidth="1"/>
    <col min="6" max="6" width="18.25" style="1" bestFit="1" customWidth="1"/>
    <col min="7" max="8" width="22.625" style="1" customWidth="1"/>
    <col min="9" max="9" width="20.125" style="1" bestFit="1" customWidth="1"/>
    <col min="10" max="10" width="8.875" style="1"/>
    <col min="11" max="11" width="19.625" style="1" hidden="1" customWidth="1"/>
    <col min="12" max="12" width="19.625" style="1" customWidth="1"/>
    <col min="13" max="17" width="5.5" style="1" bestFit="1" customWidth="1"/>
    <col min="18" max="16384" width="8.875" style="1"/>
  </cols>
  <sheetData>
    <row r="2" spans="2:26" ht="26.25">
      <c r="B2" s="165" t="s">
        <v>196</v>
      </c>
      <c r="C2" s="166" t="s">
        <v>197</v>
      </c>
      <c r="D2" s="166" t="s">
        <v>198</v>
      </c>
      <c r="E2" s="166" t="s">
        <v>199</v>
      </c>
      <c r="F2" s="166" t="s">
        <v>200</v>
      </c>
      <c r="G2" s="166" t="s">
        <v>201</v>
      </c>
      <c r="H2" s="166" t="s">
        <v>202</v>
      </c>
      <c r="I2" s="167" t="s">
        <v>203</v>
      </c>
      <c r="U2" s="164"/>
      <c r="V2" s="164"/>
      <c r="W2" s="164"/>
    </row>
    <row r="3" spans="2:26">
      <c r="B3" s="176" t="s">
        <v>204</v>
      </c>
      <c r="C3" s="177" t="s">
        <v>205</v>
      </c>
      <c r="D3" s="177" t="s">
        <v>205</v>
      </c>
      <c r="E3" s="177" t="s">
        <v>205</v>
      </c>
      <c r="F3" s="177" t="s">
        <v>206</v>
      </c>
      <c r="G3" s="177" t="s">
        <v>206</v>
      </c>
      <c r="H3" s="177" t="s">
        <v>206</v>
      </c>
      <c r="I3" s="178"/>
      <c r="U3" s="164"/>
      <c r="V3" s="164"/>
      <c r="W3" s="164"/>
    </row>
    <row r="4" spans="2:26" ht="15" customHeight="1">
      <c r="B4" s="176" t="s">
        <v>207</v>
      </c>
      <c r="C4" s="179">
        <f t="shared" ref="C4:I4" si="0">SUM(C6:C29)</f>
        <v>1.0000000000000002</v>
      </c>
      <c r="D4" s="179">
        <f t="shared" si="0"/>
        <v>1</v>
      </c>
      <c r="E4" s="179">
        <f t="shared" si="0"/>
        <v>0.99999999999999989</v>
      </c>
      <c r="F4" s="179">
        <f t="shared" si="0"/>
        <v>0.99999999999999967</v>
      </c>
      <c r="G4" s="179">
        <f t="shared" si="0"/>
        <v>1</v>
      </c>
      <c r="H4" s="179">
        <f t="shared" si="0"/>
        <v>0.99999999999999989</v>
      </c>
      <c r="I4" s="262">
        <f t="shared" si="0"/>
        <v>1.0000000000000002</v>
      </c>
      <c r="T4" s="154"/>
      <c r="U4" s="297"/>
      <c r="V4" s="297"/>
      <c r="W4" s="297"/>
      <c r="Y4" s="1" t="s">
        <v>208</v>
      </c>
      <c r="Z4" s="1" t="s">
        <v>209</v>
      </c>
    </row>
    <row r="5" spans="2:26" ht="14.25">
      <c r="B5" s="176" t="s">
        <v>210</v>
      </c>
      <c r="C5" s="180">
        <f>IF(C2=Inputs!$B$10,1,0)</f>
        <v>1</v>
      </c>
      <c r="D5" s="180">
        <f>IF(D2=Inputs!$B$10,1,0)</f>
        <v>0</v>
      </c>
      <c r="E5" s="180">
        <f>IF(E2=Inputs!$B$10,1,0)</f>
        <v>0</v>
      </c>
      <c r="F5" s="180">
        <f>IF(F2=Inputs!$B$10,1,0)</f>
        <v>0</v>
      </c>
      <c r="G5" s="180">
        <f>IF(G2=Inputs!$B$10,1,0)</f>
        <v>0</v>
      </c>
      <c r="H5" s="180">
        <f>IF(H2=Inputs!$B$10,1,0)</f>
        <v>0</v>
      </c>
      <c r="I5" s="263">
        <f>IF(I2=Inputs!$B$10,1,0)</f>
        <v>0</v>
      </c>
      <c r="T5" s="154"/>
      <c r="U5" s="297"/>
      <c r="V5" s="297"/>
      <c r="W5" s="297"/>
    </row>
    <row r="6" spans="2:26" ht="14.25">
      <c r="B6" s="181">
        <v>0</v>
      </c>
      <c r="C6" s="179">
        <v>0.01</v>
      </c>
      <c r="D6" s="179">
        <v>0.01</v>
      </c>
      <c r="E6" s="179">
        <v>4.0770681191694733E-2</v>
      </c>
      <c r="F6" s="179">
        <v>1.1841573070270228E-2</v>
      </c>
      <c r="G6" s="179">
        <v>2.7580454114642612E-2</v>
      </c>
      <c r="H6" s="179">
        <v>4.0770681191694733E-2</v>
      </c>
      <c r="I6" s="262">
        <f t="shared" ref="I6:I29" si="1">SUMPRODUCT(C6:H6,$C$5:$H$5)</f>
        <v>0.01</v>
      </c>
      <c r="T6" s="154"/>
      <c r="U6" s="297"/>
      <c r="V6" s="297"/>
      <c r="W6" s="297"/>
    </row>
    <row r="7" spans="2:26" ht="14.25">
      <c r="B7" s="181">
        <v>4.1666666666666664E-2</v>
      </c>
      <c r="C7" s="179">
        <v>0.01</v>
      </c>
      <c r="D7" s="179">
        <v>0.01</v>
      </c>
      <c r="E7" s="179">
        <v>4.0181304562093928E-2</v>
      </c>
      <c r="F7" s="179">
        <v>1.0017549056930593E-2</v>
      </c>
      <c r="G7" s="179">
        <v>2.8527028901784331E-2</v>
      </c>
      <c r="H7" s="179">
        <v>4.0181304562093928E-2</v>
      </c>
      <c r="I7" s="262">
        <f t="shared" si="1"/>
        <v>0.01</v>
      </c>
      <c r="T7" s="154"/>
      <c r="U7" s="297"/>
      <c r="V7" s="297"/>
      <c r="W7" s="297"/>
    </row>
    <row r="8" spans="2:26" ht="14.25">
      <c r="B8" s="181">
        <v>8.3333333333333329E-2</v>
      </c>
      <c r="C8" s="179">
        <v>0.01</v>
      </c>
      <c r="D8" s="179">
        <v>0.01</v>
      </c>
      <c r="E8" s="179">
        <v>3.979657320368872E-2</v>
      </c>
      <c r="F8" s="179">
        <v>9.8650058809087969E-3</v>
      </c>
      <c r="G8" s="179">
        <v>2.8331981612521678E-2</v>
      </c>
      <c r="H8" s="179">
        <v>3.979657320368872E-2</v>
      </c>
      <c r="I8" s="262">
        <f>SUMPRODUCT(C8:H8,$C$5:$H$5)</f>
        <v>0.01</v>
      </c>
      <c r="T8" s="154"/>
      <c r="U8" s="297"/>
      <c r="V8" s="297"/>
      <c r="W8" s="297"/>
    </row>
    <row r="9" spans="2:26" ht="14.25">
      <c r="B9" s="181">
        <v>0.125</v>
      </c>
      <c r="C9" s="179">
        <v>0.01</v>
      </c>
      <c r="D9" s="179">
        <v>0.01</v>
      </c>
      <c r="E9" s="179">
        <v>4.0036736621156768E-2</v>
      </c>
      <c r="F9" s="179">
        <v>9.1604117325193544E-3</v>
      </c>
      <c r="G9" s="179">
        <v>2.7755459840874505E-2</v>
      </c>
      <c r="H9" s="179">
        <v>4.0036736621156768E-2</v>
      </c>
      <c r="I9" s="262">
        <f t="shared" si="1"/>
        <v>0.01</v>
      </c>
      <c r="T9" s="154"/>
      <c r="U9" s="297"/>
      <c r="V9" s="297"/>
      <c r="W9" s="297"/>
    </row>
    <row r="10" spans="2:26" ht="14.25">
      <c r="B10" s="181">
        <v>0.16666666666666699</v>
      </c>
      <c r="C10" s="179">
        <v>0.01</v>
      </c>
      <c r="D10" s="179">
        <v>0.01</v>
      </c>
      <c r="E10" s="179">
        <v>3.9629493943694701E-2</v>
      </c>
      <c r="F10" s="179">
        <v>9.5518699043772928E-3</v>
      </c>
      <c r="G10" s="179">
        <v>2.8600262983129204E-2</v>
      </c>
      <c r="H10" s="179">
        <v>3.9629493943694701E-2</v>
      </c>
      <c r="I10" s="262">
        <f t="shared" si="1"/>
        <v>0.01</v>
      </c>
      <c r="T10" s="154"/>
      <c r="U10" s="297"/>
      <c r="V10" s="297"/>
      <c r="W10" s="297"/>
    </row>
    <row r="11" spans="2:26" ht="14.25">
      <c r="B11" s="181">
        <v>0.20833333333333301</v>
      </c>
      <c r="C11" s="179">
        <v>0.01</v>
      </c>
      <c r="D11" s="179">
        <v>0.01</v>
      </c>
      <c r="E11" s="179">
        <v>3.753132630679281E-2</v>
      </c>
      <c r="F11" s="179">
        <v>9.2013713408158476E-3</v>
      </c>
      <c r="G11" s="179">
        <v>4.0140550152148596E-2</v>
      </c>
      <c r="H11" s="179">
        <v>3.753132630679281E-2</v>
      </c>
      <c r="I11" s="262">
        <f t="shared" si="1"/>
        <v>0.01</v>
      </c>
      <c r="T11" s="154"/>
      <c r="U11" s="297"/>
      <c r="V11" s="297"/>
      <c r="W11" s="297"/>
    </row>
    <row r="12" spans="2:26" ht="14.25">
      <c r="B12" s="181">
        <v>0.25</v>
      </c>
      <c r="C12" s="179">
        <v>0.1</v>
      </c>
      <c r="D12" s="179">
        <v>0.1</v>
      </c>
      <c r="E12" s="179">
        <v>3.3720514455984604E-2</v>
      </c>
      <c r="F12" s="179">
        <v>9.6556708790269154E-3</v>
      </c>
      <c r="G12" s="179">
        <v>5.0289627353573896E-2</v>
      </c>
      <c r="H12" s="179">
        <v>3.3720514455984604E-2</v>
      </c>
      <c r="I12" s="262">
        <f t="shared" si="1"/>
        <v>0.1</v>
      </c>
      <c r="T12" s="154"/>
      <c r="U12" s="297"/>
      <c r="V12" s="297"/>
      <c r="W12" s="297"/>
    </row>
    <row r="13" spans="2:26" ht="14.25">
      <c r="B13" s="181">
        <v>0.29166666666666702</v>
      </c>
      <c r="C13" s="179">
        <v>0.12</v>
      </c>
      <c r="D13" s="179">
        <v>0.1</v>
      </c>
      <c r="E13" s="179">
        <v>3.1314435145978273E-2</v>
      </c>
      <c r="F13" s="179">
        <v>1.1067615718821842E-2</v>
      </c>
      <c r="G13" s="179">
        <v>5.5250097083160254E-2</v>
      </c>
      <c r="H13" s="179">
        <v>3.1314435145978273E-2</v>
      </c>
      <c r="I13" s="262">
        <f t="shared" si="1"/>
        <v>0.12</v>
      </c>
      <c r="T13" s="154"/>
      <c r="U13" s="297"/>
      <c r="V13" s="297"/>
      <c r="W13" s="297"/>
    </row>
    <row r="14" spans="2:26" ht="14.25">
      <c r="B14" s="181">
        <v>0.33333333333333298</v>
      </c>
      <c r="C14" s="179">
        <v>0.03</v>
      </c>
      <c r="D14" s="179">
        <v>0.03</v>
      </c>
      <c r="E14" s="179">
        <v>3.3459039021112635E-2</v>
      </c>
      <c r="F14" s="179">
        <v>2.8566580343254953E-2</v>
      </c>
      <c r="G14" s="179">
        <v>5.2789256413342756E-2</v>
      </c>
      <c r="H14" s="179">
        <v>3.3459039021112635E-2</v>
      </c>
      <c r="I14" s="262">
        <f t="shared" si="1"/>
        <v>0.03</v>
      </c>
      <c r="T14" s="154"/>
      <c r="U14" s="297"/>
      <c r="V14" s="297"/>
      <c r="W14" s="297"/>
    </row>
    <row r="15" spans="2:26" ht="14.25">
      <c r="B15" s="181">
        <v>0.375</v>
      </c>
      <c r="C15" s="179">
        <v>0.02</v>
      </c>
      <c r="D15" s="179">
        <v>0.01</v>
      </c>
      <c r="E15" s="179">
        <v>3.7705473450750676E-2</v>
      </c>
      <c r="F15" s="179">
        <v>5.4824486176188625E-2</v>
      </c>
      <c r="G15" s="179">
        <v>5.1500177213573597E-2</v>
      </c>
      <c r="H15" s="179">
        <v>3.7705473450750676E-2</v>
      </c>
      <c r="I15" s="262">
        <f t="shared" si="1"/>
        <v>0.02</v>
      </c>
      <c r="T15" s="154"/>
      <c r="U15" s="297"/>
      <c r="V15" s="297"/>
      <c r="W15" s="297"/>
    </row>
    <row r="16" spans="2:26" ht="14.25">
      <c r="B16" s="181">
        <v>0.41666666666666702</v>
      </c>
      <c r="C16" s="179">
        <v>0.02</v>
      </c>
      <c r="D16" s="179">
        <v>0.01</v>
      </c>
      <c r="E16" s="179">
        <v>4.1579061456243904E-2</v>
      </c>
      <c r="F16" s="179">
        <v>6.0915011805631872E-2</v>
      </c>
      <c r="G16" s="179">
        <v>5.1964116386761336E-2</v>
      </c>
      <c r="H16" s="179">
        <v>4.1579061456243904E-2</v>
      </c>
      <c r="I16" s="262">
        <f t="shared" si="1"/>
        <v>0.02</v>
      </c>
      <c r="T16" s="154"/>
      <c r="U16" s="297"/>
      <c r="V16" s="297"/>
      <c r="W16" s="297"/>
    </row>
    <row r="17" spans="2:23" ht="14.25">
      <c r="B17" s="181">
        <v>0.45833333333333298</v>
      </c>
      <c r="C17" s="179">
        <v>0.02</v>
      </c>
      <c r="D17" s="179">
        <v>0.08</v>
      </c>
      <c r="E17" s="179">
        <v>4.2454149240979136E-2</v>
      </c>
      <c r="F17" s="179">
        <v>6.6720988195469122E-2</v>
      </c>
      <c r="G17" s="179">
        <v>5.2715311802920467E-2</v>
      </c>
      <c r="H17" s="179">
        <v>4.2454149240979136E-2</v>
      </c>
      <c r="I17" s="262">
        <f t="shared" si="1"/>
        <v>0.02</v>
      </c>
      <c r="T17" s="154"/>
      <c r="U17" s="297"/>
      <c r="V17" s="297"/>
      <c r="W17" s="297"/>
    </row>
    <row r="18" spans="2:23" ht="14.25">
      <c r="B18" s="181">
        <v>0.5</v>
      </c>
      <c r="C18" s="179">
        <v>0.02</v>
      </c>
      <c r="D18" s="179">
        <v>0.08</v>
      </c>
      <c r="E18" s="179">
        <v>4.2816195668913003E-2</v>
      </c>
      <c r="F18" s="179">
        <v>7.1966044385027295E-2</v>
      </c>
      <c r="G18" s="179">
        <v>5.2344727473966624E-2</v>
      </c>
      <c r="H18" s="179">
        <v>4.2816195668913003E-2</v>
      </c>
      <c r="I18" s="262">
        <f t="shared" si="1"/>
        <v>0.02</v>
      </c>
      <c r="T18" s="154"/>
      <c r="U18" s="297"/>
      <c r="V18" s="297"/>
      <c r="W18" s="297"/>
    </row>
    <row r="19" spans="2:23" ht="14.25">
      <c r="B19" s="181">
        <v>0.54166666666666696</v>
      </c>
      <c r="C19" s="179">
        <v>0.02</v>
      </c>
      <c r="D19" s="179">
        <v>0.01</v>
      </c>
      <c r="E19" s="179">
        <v>4.3290601838113847E-2</v>
      </c>
      <c r="F19" s="179">
        <v>6.6351649879477809E-2</v>
      </c>
      <c r="G19" s="179">
        <v>5.3926441460353879E-2</v>
      </c>
      <c r="H19" s="179">
        <v>4.3290601838113847E-2</v>
      </c>
      <c r="I19" s="262">
        <f t="shared" si="1"/>
        <v>0.02</v>
      </c>
      <c r="T19" s="154"/>
      <c r="U19" s="297"/>
      <c r="V19" s="297"/>
      <c r="W19" s="297"/>
    </row>
    <row r="20" spans="2:23" ht="14.25">
      <c r="B20" s="181">
        <v>0.58333333333333304</v>
      </c>
      <c r="C20" s="179">
        <v>0.02</v>
      </c>
      <c r="D20" s="179">
        <v>0.01</v>
      </c>
      <c r="E20" s="179">
        <v>4.3506308405694451E-2</v>
      </c>
      <c r="F20" s="179">
        <v>6.5829633857912767E-2</v>
      </c>
      <c r="G20" s="179">
        <v>5.326390509770812E-2</v>
      </c>
      <c r="H20" s="179">
        <v>4.3506308405694451E-2</v>
      </c>
      <c r="I20" s="262">
        <f t="shared" si="1"/>
        <v>0.02</v>
      </c>
      <c r="T20" s="154"/>
      <c r="U20" s="297"/>
      <c r="V20" s="297"/>
      <c r="W20" s="297"/>
    </row>
    <row r="21" spans="2:23" ht="14.25">
      <c r="B21" s="181">
        <v>0.625</v>
      </c>
      <c r="C21" s="179">
        <v>0.02</v>
      </c>
      <c r="D21" s="179">
        <v>0.01</v>
      </c>
      <c r="E21" s="179">
        <v>4.4088288339309938E-2</v>
      </c>
      <c r="F21" s="179">
        <v>7.1767709091231924E-2</v>
      </c>
      <c r="G21" s="179">
        <v>5.2228237884248019E-2</v>
      </c>
      <c r="H21" s="179">
        <v>4.4088288339309938E-2</v>
      </c>
      <c r="I21" s="262">
        <f t="shared" si="1"/>
        <v>0.02</v>
      </c>
      <c r="T21" s="154"/>
      <c r="U21" s="297"/>
      <c r="V21" s="297"/>
      <c r="W21" s="297"/>
    </row>
    <row r="22" spans="2:23" ht="14.25">
      <c r="B22" s="181">
        <v>0.66666666666666696</v>
      </c>
      <c r="C22" s="179">
        <v>0.05</v>
      </c>
      <c r="D22" s="179">
        <v>0.01</v>
      </c>
      <c r="E22" s="179">
        <v>4.417847495388956E-2</v>
      </c>
      <c r="F22" s="179">
        <v>7.2846781338385402E-2</v>
      </c>
      <c r="G22" s="179">
        <v>5.0867002706880798E-2</v>
      </c>
      <c r="H22" s="179">
        <v>4.417847495388956E-2</v>
      </c>
      <c r="I22" s="262">
        <f t="shared" si="1"/>
        <v>0.05</v>
      </c>
      <c r="T22" s="154"/>
      <c r="U22" s="297"/>
      <c r="V22" s="297"/>
      <c r="W22" s="297"/>
    </row>
    <row r="23" spans="2:23" ht="14.25">
      <c r="B23" s="181">
        <v>0.70833333333333304</v>
      </c>
      <c r="C23" s="179">
        <v>0.08</v>
      </c>
      <c r="D23" s="179">
        <v>7.0000000000000007E-2</v>
      </c>
      <c r="E23" s="179">
        <v>4.7645605798595017E-2</v>
      </c>
      <c r="F23" s="179">
        <v>8.3723585305862228E-2</v>
      </c>
      <c r="G23" s="179">
        <v>4.8863987063336042E-2</v>
      </c>
      <c r="H23" s="179">
        <v>4.7645605798595017E-2</v>
      </c>
      <c r="I23" s="262">
        <f t="shared" si="1"/>
        <v>0.08</v>
      </c>
      <c r="T23" s="154"/>
      <c r="U23" s="297"/>
      <c r="V23" s="297"/>
      <c r="W23" s="297"/>
    </row>
    <row r="24" spans="2:23" ht="14.25">
      <c r="B24" s="181">
        <v>0.75</v>
      </c>
      <c r="C24" s="179">
        <v>0.12</v>
      </c>
      <c r="D24" s="179">
        <v>0.12</v>
      </c>
      <c r="E24" s="179">
        <v>4.9555976852169573E-2</v>
      </c>
      <c r="F24" s="179">
        <v>8.5628676749263222E-2</v>
      </c>
      <c r="G24" s="179">
        <v>4.4324197561670338E-2</v>
      </c>
      <c r="H24" s="179">
        <v>4.9555976852169573E-2</v>
      </c>
      <c r="I24" s="262">
        <f t="shared" si="1"/>
        <v>0.12</v>
      </c>
      <c r="T24" s="154"/>
      <c r="U24" s="297"/>
      <c r="V24" s="297"/>
      <c r="W24" s="297"/>
    </row>
    <row r="25" spans="2:23" ht="14.25">
      <c r="B25" s="181">
        <v>0.79166666666666696</v>
      </c>
      <c r="C25" s="179">
        <v>0.12</v>
      </c>
      <c r="D25" s="179">
        <v>0.12</v>
      </c>
      <c r="E25" s="179">
        <v>4.8280053634186137E-2</v>
      </c>
      <c r="F25" s="179">
        <v>7.3789780856072323E-2</v>
      </c>
      <c r="G25" s="179">
        <v>3.1882329792866509E-2</v>
      </c>
      <c r="H25" s="179">
        <v>4.8280053634186137E-2</v>
      </c>
      <c r="I25" s="262">
        <f t="shared" si="1"/>
        <v>0.12</v>
      </c>
      <c r="T25" s="154"/>
      <c r="U25" s="297"/>
      <c r="V25" s="297"/>
      <c r="W25" s="297"/>
    </row>
    <row r="26" spans="2:23" ht="14.25">
      <c r="B26" s="181">
        <v>0.83333333333333304</v>
      </c>
      <c r="C26" s="179">
        <v>0.08</v>
      </c>
      <c r="D26" s="179">
        <v>0.09</v>
      </c>
      <c r="E26" s="179">
        <v>4.6572799571519101E-2</v>
      </c>
      <c r="F26" s="179">
        <v>5.745205242218808E-2</v>
      </c>
      <c r="G26" s="179">
        <v>2.963619306489608E-2</v>
      </c>
      <c r="H26" s="179">
        <v>4.6572799571519101E-2</v>
      </c>
      <c r="I26" s="262">
        <f t="shared" si="1"/>
        <v>0.08</v>
      </c>
      <c r="T26" s="154"/>
      <c r="U26" s="297"/>
      <c r="V26" s="297"/>
      <c r="W26" s="297"/>
    </row>
    <row r="27" spans="2:23" ht="14.25">
      <c r="B27" s="181">
        <v>0.875</v>
      </c>
      <c r="C27" s="179">
        <v>0.06</v>
      </c>
      <c r="D27" s="179">
        <v>0.05</v>
      </c>
      <c r="E27" s="179">
        <v>4.6172251230236563E-2</v>
      </c>
      <c r="F27" s="179">
        <v>2.5989573734384423E-2</v>
      </c>
      <c r="G27" s="179">
        <v>2.8717261924774432E-2</v>
      </c>
      <c r="H27" s="179">
        <v>4.6172251230236563E-2</v>
      </c>
      <c r="I27" s="262">
        <f t="shared" si="1"/>
        <v>0.06</v>
      </c>
      <c r="M27" s="163">
        <f>SUM(D32:D55)</f>
        <v>6120</v>
      </c>
      <c r="T27" s="154"/>
      <c r="U27" s="297"/>
      <c r="V27" s="297"/>
      <c r="W27" s="297"/>
    </row>
    <row r="28" spans="2:23" ht="14.25">
      <c r="B28" s="181">
        <v>0.91666666666666696</v>
      </c>
      <c r="C28" s="179">
        <v>0.03</v>
      </c>
      <c r="D28" s="179">
        <v>0.03</v>
      </c>
      <c r="E28" s="179">
        <v>4.3431578288717326E-2</v>
      </c>
      <c r="F28" s="179">
        <v>1.8647286913845491E-2</v>
      </c>
      <c r="G28" s="179">
        <v>2.9093009418721227E-2</v>
      </c>
      <c r="H28" s="179">
        <v>4.3431578288717326E-2</v>
      </c>
      <c r="I28" s="262">
        <f t="shared" si="1"/>
        <v>0.03</v>
      </c>
      <c r="T28" s="154"/>
    </row>
    <row r="29" spans="2:23">
      <c r="B29" s="182">
        <v>0.95833333333333304</v>
      </c>
      <c r="C29" s="183">
        <v>0.01</v>
      </c>
      <c r="D29" s="183">
        <v>0.01</v>
      </c>
      <c r="E29" s="183">
        <v>4.2283076818484519E-2</v>
      </c>
      <c r="F29" s="183">
        <v>1.4619091362133322E-2</v>
      </c>
      <c r="G29" s="183">
        <v>2.9408382692144762E-2</v>
      </c>
      <c r="H29" s="183">
        <v>4.2283076818484519E-2</v>
      </c>
      <c r="I29" s="264">
        <f t="shared" si="1"/>
        <v>0.01</v>
      </c>
    </row>
    <row r="31" spans="2:23" ht="26.25">
      <c r="B31" s="172" t="s">
        <v>76</v>
      </c>
      <c r="C31" s="173" t="s">
        <v>211</v>
      </c>
      <c r="D31" s="174" t="s">
        <v>212</v>
      </c>
      <c r="E31" s="175" t="s">
        <v>213</v>
      </c>
      <c r="F31" s="175" t="s">
        <v>214</v>
      </c>
      <c r="O31" s="160"/>
      <c r="P31" s="160"/>
    </row>
    <row r="32" spans="2:23">
      <c r="B32" s="184">
        <v>0</v>
      </c>
      <c r="C32" s="185">
        <v>4.1599999999999998E-2</v>
      </c>
      <c r="D32" s="186">
        <f>Inputs!B5</f>
        <v>255</v>
      </c>
      <c r="E32" s="334">
        <f>ROUND(C32*$D$56,0)</f>
        <v>255</v>
      </c>
      <c r="F32" s="187">
        <v>0</v>
      </c>
      <c r="O32" s="160"/>
      <c r="P32" s="160"/>
    </row>
    <row r="33" spans="2:20">
      <c r="B33" s="184">
        <v>4.1666666666666664E-2</v>
      </c>
      <c r="C33" s="185">
        <v>4.1599999999999998E-2</v>
      </c>
      <c r="D33" s="186">
        <f>D32</f>
        <v>255</v>
      </c>
      <c r="E33" s="334">
        <f t="shared" ref="E33:E55" si="2">ROUND(C33*$D$56,0)</f>
        <v>255</v>
      </c>
      <c r="F33" s="188">
        <v>0</v>
      </c>
      <c r="O33" s="160"/>
      <c r="P33" s="160"/>
    </row>
    <row r="34" spans="2:20">
      <c r="B34" s="184">
        <v>8.3333333333333329E-2</v>
      </c>
      <c r="C34" s="185">
        <v>4.1700000000000001E-2</v>
      </c>
      <c r="D34" s="186">
        <f t="shared" ref="D34:D55" si="3">D33</f>
        <v>255</v>
      </c>
      <c r="E34" s="334">
        <f t="shared" si="2"/>
        <v>255</v>
      </c>
      <c r="F34" s="189">
        <v>0</v>
      </c>
      <c r="O34" s="160"/>
      <c r="P34" s="160"/>
    </row>
    <row r="35" spans="2:20" ht="13.9" customHeight="1">
      <c r="B35" s="184">
        <v>0.125</v>
      </c>
      <c r="C35" s="185">
        <v>4.1599999999999998E-2</v>
      </c>
      <c r="D35" s="186">
        <f t="shared" si="3"/>
        <v>255</v>
      </c>
      <c r="E35" s="334">
        <f t="shared" si="2"/>
        <v>255</v>
      </c>
      <c r="F35" s="189">
        <v>0</v>
      </c>
      <c r="O35" s="160"/>
      <c r="P35" s="160"/>
    </row>
    <row r="36" spans="2:20" ht="14.25" customHeight="1">
      <c r="B36" s="184">
        <v>0.16666666666666699</v>
      </c>
      <c r="C36" s="185">
        <v>4.1599999999999998E-2</v>
      </c>
      <c r="D36" s="186">
        <f t="shared" si="3"/>
        <v>255</v>
      </c>
      <c r="E36" s="334">
        <f t="shared" si="2"/>
        <v>255</v>
      </c>
      <c r="F36" s="189">
        <v>0</v>
      </c>
      <c r="O36" s="160"/>
      <c r="P36" s="160"/>
    </row>
    <row r="37" spans="2:20" ht="14.25" customHeight="1">
      <c r="B37" s="184">
        <v>0.20833333333333301</v>
      </c>
      <c r="C37" s="185">
        <v>4.1399999999999999E-2</v>
      </c>
      <c r="D37" s="186">
        <f t="shared" si="3"/>
        <v>255</v>
      </c>
      <c r="E37" s="334">
        <f t="shared" si="2"/>
        <v>253</v>
      </c>
      <c r="F37" s="189">
        <v>0</v>
      </c>
      <c r="O37" s="160"/>
      <c r="P37" s="160"/>
    </row>
    <row r="38" spans="2:20" ht="14.25" customHeight="1">
      <c r="B38" s="184">
        <v>0.25</v>
      </c>
      <c r="C38" s="185">
        <v>4.1500000000000002E-2</v>
      </c>
      <c r="D38" s="186">
        <f t="shared" si="3"/>
        <v>255</v>
      </c>
      <c r="E38" s="334">
        <f t="shared" si="2"/>
        <v>254</v>
      </c>
      <c r="F38" s="189">
        <v>0</v>
      </c>
      <c r="O38" s="160"/>
      <c r="P38" s="160"/>
    </row>
    <row r="39" spans="2:20" ht="14.25" customHeight="1">
      <c r="B39" s="184">
        <v>0.29166666666666702</v>
      </c>
      <c r="C39" s="185">
        <v>4.1599999999999998E-2</v>
      </c>
      <c r="D39" s="186">
        <f t="shared" si="3"/>
        <v>255</v>
      </c>
      <c r="E39" s="334">
        <f t="shared" si="2"/>
        <v>255</v>
      </c>
      <c r="F39" s="189">
        <v>0.02</v>
      </c>
      <c r="O39" s="160"/>
      <c r="P39" s="160"/>
    </row>
    <row r="40" spans="2:20" ht="14.25" customHeight="1">
      <c r="B40" s="184">
        <v>0.33333333333333298</v>
      </c>
      <c r="C40" s="185">
        <v>4.1599999999999998E-2</v>
      </c>
      <c r="D40" s="186">
        <f t="shared" si="3"/>
        <v>255</v>
      </c>
      <c r="E40" s="334">
        <f t="shared" si="2"/>
        <v>255</v>
      </c>
      <c r="F40" s="189">
        <v>4.4999999999999998E-2</v>
      </c>
      <c r="O40" s="160"/>
      <c r="P40" s="160"/>
    </row>
    <row r="41" spans="2:20" ht="14.25" customHeight="1">
      <c r="B41" s="184">
        <v>0.375</v>
      </c>
      <c r="C41" s="185">
        <v>4.1399999999999999E-2</v>
      </c>
      <c r="D41" s="186">
        <f t="shared" si="3"/>
        <v>255</v>
      </c>
      <c r="E41" s="334">
        <f t="shared" si="2"/>
        <v>253</v>
      </c>
      <c r="F41" s="189">
        <v>0.08</v>
      </c>
      <c r="O41" s="160"/>
      <c r="P41" s="160"/>
    </row>
    <row r="42" spans="2:20" ht="14.25" customHeight="1">
      <c r="B42" s="184">
        <v>0.41666666666666702</v>
      </c>
      <c r="C42" s="185">
        <v>4.19E-2</v>
      </c>
      <c r="D42" s="186">
        <f t="shared" si="3"/>
        <v>255</v>
      </c>
      <c r="E42" s="334">
        <f t="shared" si="2"/>
        <v>256</v>
      </c>
      <c r="F42" s="189">
        <v>0.11</v>
      </c>
      <c r="O42" s="160"/>
      <c r="P42" s="160"/>
    </row>
    <row r="43" spans="2:20" ht="14.25" customHeight="1">
      <c r="B43" s="184">
        <v>0.45833333333333298</v>
      </c>
      <c r="C43" s="185">
        <v>4.2000000000000003E-2</v>
      </c>
      <c r="D43" s="186">
        <f t="shared" si="3"/>
        <v>255</v>
      </c>
      <c r="E43" s="334">
        <f t="shared" si="2"/>
        <v>257</v>
      </c>
      <c r="F43" s="189">
        <v>0.12</v>
      </c>
      <c r="O43" s="160"/>
      <c r="P43" s="160"/>
    </row>
    <row r="44" spans="2:20" ht="14.25" customHeight="1">
      <c r="B44" s="184">
        <v>0.5</v>
      </c>
      <c r="C44" s="185">
        <v>4.2000000000000003E-2</v>
      </c>
      <c r="D44" s="186">
        <f t="shared" si="3"/>
        <v>255</v>
      </c>
      <c r="E44" s="334">
        <f t="shared" si="2"/>
        <v>257</v>
      </c>
      <c r="F44" s="189">
        <v>0.125</v>
      </c>
      <c r="O44" s="160"/>
      <c r="P44" s="160"/>
    </row>
    <row r="45" spans="2:20" ht="14.25" customHeight="1">
      <c r="B45" s="184">
        <v>0.54166666666666696</v>
      </c>
      <c r="C45" s="185">
        <v>4.2000000000000003E-2</v>
      </c>
      <c r="D45" s="186">
        <f t="shared" si="3"/>
        <v>255</v>
      </c>
      <c r="E45" s="334">
        <f t="shared" si="2"/>
        <v>257</v>
      </c>
      <c r="F45" s="189">
        <v>0.125</v>
      </c>
      <c r="O45" s="160"/>
      <c r="P45" s="160"/>
      <c r="R45" s="31"/>
      <c r="T45" s="31"/>
    </row>
    <row r="46" spans="2:20" ht="14.25" customHeight="1">
      <c r="B46" s="184">
        <v>0.58333333333333304</v>
      </c>
      <c r="C46" s="185">
        <v>4.19E-2</v>
      </c>
      <c r="D46" s="186">
        <f t="shared" si="3"/>
        <v>255</v>
      </c>
      <c r="E46" s="334">
        <f t="shared" si="2"/>
        <v>256</v>
      </c>
      <c r="F46" s="189">
        <v>0.12</v>
      </c>
      <c r="O46" s="160"/>
      <c r="P46" s="160"/>
      <c r="R46" s="31"/>
      <c r="T46" s="31"/>
    </row>
    <row r="47" spans="2:20" ht="14.25" customHeight="1">
      <c r="B47" s="184">
        <v>0.625</v>
      </c>
      <c r="C47" s="185">
        <v>4.1799999999999997E-2</v>
      </c>
      <c r="D47" s="186">
        <f t="shared" si="3"/>
        <v>255</v>
      </c>
      <c r="E47" s="334">
        <f t="shared" si="2"/>
        <v>256</v>
      </c>
      <c r="F47" s="189">
        <v>0.11</v>
      </c>
      <c r="O47" s="160"/>
      <c r="P47" s="160"/>
      <c r="R47" s="31"/>
      <c r="T47" s="31"/>
    </row>
    <row r="48" spans="2:20" ht="14.25" customHeight="1">
      <c r="B48" s="184">
        <v>0.66666666666666696</v>
      </c>
      <c r="C48" s="185">
        <v>4.1599999999999998E-2</v>
      </c>
      <c r="D48" s="186">
        <f>D47</f>
        <v>255</v>
      </c>
      <c r="E48" s="334">
        <f t="shared" si="2"/>
        <v>255</v>
      </c>
      <c r="F48" s="189">
        <v>0.08</v>
      </c>
      <c r="O48" s="160"/>
      <c r="P48" s="160"/>
      <c r="R48" s="31"/>
      <c r="T48" s="31"/>
    </row>
    <row r="49" spans="2:20" ht="14.25" customHeight="1">
      <c r="B49" s="184">
        <v>0.70833333333333304</v>
      </c>
      <c r="C49" s="185">
        <v>4.1500000000000002E-2</v>
      </c>
      <c r="D49" s="186">
        <f t="shared" si="3"/>
        <v>255</v>
      </c>
      <c r="E49" s="334">
        <f t="shared" si="2"/>
        <v>254</v>
      </c>
      <c r="F49" s="189">
        <v>4.4999999999999998E-2</v>
      </c>
      <c r="O49" s="160"/>
      <c r="P49" s="160"/>
      <c r="R49" s="31"/>
      <c r="T49" s="31"/>
    </row>
    <row r="50" spans="2:20" ht="14.25" customHeight="1">
      <c r="B50" s="184">
        <v>0.75</v>
      </c>
      <c r="C50" s="185">
        <v>4.1500000000000002E-2</v>
      </c>
      <c r="D50" s="186">
        <f t="shared" si="3"/>
        <v>255</v>
      </c>
      <c r="E50" s="334">
        <f t="shared" si="2"/>
        <v>254</v>
      </c>
      <c r="F50" s="189">
        <v>0.02</v>
      </c>
      <c r="O50" s="160"/>
      <c r="P50" s="160"/>
    </row>
    <row r="51" spans="2:20" ht="14.25" customHeight="1">
      <c r="B51" s="184">
        <v>0.79166666666666696</v>
      </c>
      <c r="C51" s="185">
        <v>4.1700000000000001E-2</v>
      </c>
      <c r="D51" s="186">
        <f t="shared" si="3"/>
        <v>255</v>
      </c>
      <c r="E51" s="334">
        <f t="shared" si="2"/>
        <v>255</v>
      </c>
      <c r="F51" s="189">
        <v>0</v>
      </c>
      <c r="O51" s="160"/>
      <c r="P51" s="160"/>
    </row>
    <row r="52" spans="2:20" ht="14.25" customHeight="1">
      <c r="B52" s="184">
        <v>0.83333333333333304</v>
      </c>
      <c r="C52" s="185">
        <v>4.1599999999999998E-2</v>
      </c>
      <c r="D52" s="186">
        <f t="shared" si="3"/>
        <v>255</v>
      </c>
      <c r="E52" s="334">
        <f t="shared" si="2"/>
        <v>255</v>
      </c>
      <c r="F52" s="189">
        <v>0</v>
      </c>
      <c r="O52" s="160"/>
      <c r="P52" s="160"/>
    </row>
    <row r="53" spans="2:20" ht="14.25" customHeight="1">
      <c r="B53" s="184">
        <v>0.875</v>
      </c>
      <c r="C53" s="185">
        <v>4.1700000000000001E-2</v>
      </c>
      <c r="D53" s="186">
        <f t="shared" si="3"/>
        <v>255</v>
      </c>
      <c r="E53" s="334">
        <f t="shared" si="2"/>
        <v>255</v>
      </c>
      <c r="F53" s="189">
        <v>0</v>
      </c>
      <c r="O53" s="160"/>
      <c r="P53" s="160"/>
    </row>
    <row r="54" spans="2:20" ht="14.25" customHeight="1">
      <c r="B54" s="184">
        <v>0.91666666666666696</v>
      </c>
      <c r="C54" s="185">
        <v>4.1599999999999998E-2</v>
      </c>
      <c r="D54" s="186">
        <f t="shared" si="3"/>
        <v>255</v>
      </c>
      <c r="E54" s="334">
        <f t="shared" si="2"/>
        <v>255</v>
      </c>
      <c r="F54" s="189">
        <v>0</v>
      </c>
      <c r="O54" s="160"/>
      <c r="P54" s="160"/>
    </row>
    <row r="55" spans="2:20" ht="14.25" customHeight="1">
      <c r="B55" s="184">
        <v>0.95833333333333304</v>
      </c>
      <c r="C55" s="185">
        <v>4.1599999999999998E-2</v>
      </c>
      <c r="D55" s="186">
        <f t="shared" si="3"/>
        <v>255</v>
      </c>
      <c r="E55" s="334">
        <f t="shared" si="2"/>
        <v>255</v>
      </c>
      <c r="F55" s="189">
        <v>0</v>
      </c>
      <c r="O55" s="160"/>
      <c r="P55" s="160"/>
    </row>
    <row r="56" spans="2:20" ht="14.25" customHeight="1">
      <c r="C56" s="160">
        <f>SUM(C32:C55)</f>
        <v>0.99999999999999978</v>
      </c>
      <c r="D56" s="265">
        <f>SUM(D32:D55)</f>
        <v>6120</v>
      </c>
      <c r="E56" s="265"/>
      <c r="O56" s="160"/>
      <c r="P56" s="160"/>
    </row>
    <row r="57" spans="2:20" ht="14.25" customHeight="1">
      <c r="O57" s="160"/>
      <c r="P57" s="160"/>
    </row>
    <row r="58" spans="2:20" ht="14.25" customHeight="1">
      <c r="B58" s="168" t="s">
        <v>215</v>
      </c>
      <c r="C58" s="169" t="s">
        <v>77</v>
      </c>
      <c r="O58" s="160"/>
      <c r="P58" s="160"/>
    </row>
    <row r="59" spans="2:20" ht="14.25" customHeight="1">
      <c r="B59" s="190">
        <v>0</v>
      </c>
      <c r="C59" s="191">
        <v>0</v>
      </c>
      <c r="O59" s="160"/>
      <c r="P59" s="160"/>
    </row>
    <row r="60" spans="2:20" ht="14.65" customHeight="1">
      <c r="B60" s="190">
        <v>0.1</v>
      </c>
      <c r="C60" s="191">
        <v>0.85</v>
      </c>
      <c r="O60" s="160"/>
      <c r="P60" s="160"/>
    </row>
    <row r="61" spans="2:20">
      <c r="B61" s="190">
        <v>0.2</v>
      </c>
      <c r="C61" s="191">
        <v>0.92</v>
      </c>
      <c r="O61" s="160"/>
      <c r="P61" s="160"/>
    </row>
    <row r="62" spans="2:20">
      <c r="B62" s="190">
        <v>0.3</v>
      </c>
      <c r="C62" s="191">
        <v>0.94</v>
      </c>
      <c r="O62" s="160"/>
      <c r="P62" s="160"/>
    </row>
    <row r="63" spans="2:20">
      <c r="B63" s="190">
        <v>0.4</v>
      </c>
      <c r="C63" s="191">
        <v>0.96</v>
      </c>
      <c r="O63" s="160"/>
      <c r="P63" s="160"/>
    </row>
    <row r="64" spans="2:20">
      <c r="B64" s="190">
        <v>0.5</v>
      </c>
      <c r="C64" s="191">
        <v>0.96</v>
      </c>
      <c r="O64" s="160"/>
      <c r="P64" s="160"/>
    </row>
    <row r="65" spans="2:3">
      <c r="B65" s="190">
        <v>0.6</v>
      </c>
      <c r="C65" s="191">
        <v>0.97</v>
      </c>
    </row>
    <row r="66" spans="2:3">
      <c r="B66" s="190">
        <v>0.7</v>
      </c>
      <c r="C66" s="191">
        <v>0.97</v>
      </c>
    </row>
    <row r="67" spans="2:3">
      <c r="B67" s="190">
        <v>0.8</v>
      </c>
      <c r="C67" s="191">
        <v>0.97</v>
      </c>
    </row>
    <row r="68" spans="2:3">
      <c r="B68" s="190">
        <v>0.9</v>
      </c>
      <c r="C68" s="191">
        <v>0.98</v>
      </c>
    </row>
    <row r="69" spans="2:3">
      <c r="B69" s="190">
        <v>1</v>
      </c>
      <c r="C69" s="191">
        <v>0.98</v>
      </c>
    </row>
    <row r="70" spans="2:3">
      <c r="B70" s="190">
        <v>1.5</v>
      </c>
      <c r="C70" s="191">
        <v>0.98</v>
      </c>
    </row>
    <row r="71" spans="2:3">
      <c r="B71" s="190">
        <v>1.6</v>
      </c>
      <c r="C71" s="191">
        <v>0.98</v>
      </c>
    </row>
    <row r="72" spans="2:3">
      <c r="B72" s="190">
        <v>1.7</v>
      </c>
      <c r="C72" s="191">
        <v>0.98</v>
      </c>
    </row>
    <row r="73" spans="2:3">
      <c r="B73" s="190">
        <v>1.8</v>
      </c>
      <c r="C73" s="191">
        <v>0.98</v>
      </c>
    </row>
    <row r="74" spans="2:3">
      <c r="B74" s="190">
        <v>1.9</v>
      </c>
      <c r="C74" s="191">
        <v>0.98</v>
      </c>
    </row>
    <row r="75" spans="2:3">
      <c r="B75" s="190">
        <v>2</v>
      </c>
      <c r="C75" s="191">
        <v>0.98</v>
      </c>
    </row>
    <row r="76" spans="2:3">
      <c r="B76" s="190">
        <v>2</v>
      </c>
      <c r="C76" s="191">
        <v>0.98</v>
      </c>
    </row>
    <row r="77" spans="2:3">
      <c r="B77" s="190">
        <v>2.1</v>
      </c>
      <c r="C77" s="191">
        <v>0.98</v>
      </c>
    </row>
    <row r="78" spans="2:3">
      <c r="B78" s="190">
        <v>2.4</v>
      </c>
      <c r="C78" s="191">
        <v>0.98</v>
      </c>
    </row>
    <row r="79" spans="2:3">
      <c r="B79" s="190">
        <v>2.6</v>
      </c>
      <c r="C79" s="191">
        <v>0.98</v>
      </c>
    </row>
    <row r="80" spans="2:3">
      <c r="B80" s="190">
        <v>2.7</v>
      </c>
      <c r="C80" s="191">
        <v>0.98</v>
      </c>
    </row>
    <row r="81" spans="2:3">
      <c r="B81" s="190">
        <v>2.8</v>
      </c>
      <c r="C81" s="191">
        <v>0.98</v>
      </c>
    </row>
    <row r="82" spans="2:3">
      <c r="B82" s="190">
        <v>2.9</v>
      </c>
      <c r="C82" s="191">
        <v>0.98</v>
      </c>
    </row>
    <row r="83" spans="2:3">
      <c r="B83" s="190">
        <v>3</v>
      </c>
      <c r="C83" s="191">
        <v>0.98</v>
      </c>
    </row>
    <row r="84" spans="2:3">
      <c r="B84" s="190">
        <v>3.1</v>
      </c>
      <c r="C84" s="191">
        <v>0.98</v>
      </c>
    </row>
    <row r="85" spans="2:3">
      <c r="B85" s="190">
        <v>3.2</v>
      </c>
      <c r="C85" s="191">
        <v>0.98</v>
      </c>
    </row>
    <row r="86" spans="2:3">
      <c r="B86" s="190">
        <v>4</v>
      </c>
      <c r="C86" s="191">
        <v>0.98</v>
      </c>
    </row>
    <row r="87" spans="2:3">
      <c r="B87" s="190">
        <v>4.0999999999999996</v>
      </c>
      <c r="C87" s="191">
        <v>0.98</v>
      </c>
    </row>
    <row r="88" spans="2:3">
      <c r="B88" s="192">
        <v>5</v>
      </c>
      <c r="C88" s="193">
        <v>0.98</v>
      </c>
    </row>
  </sheetData>
  <pageMargins left="0.7" right="0.7" top="0.75" bottom="0.75" header="0.3" footer="0.3"/>
  <pageSetup paperSize="9" orientation="portrait" horizontalDpi="0" verticalDpi="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CC615-FC96-4DA6-81C3-6F7006E90C8F}">
  <dimension ref="B1:I19"/>
  <sheetViews>
    <sheetView workbookViewId="0">
      <selection activeCell="D47" sqref="D47"/>
    </sheetView>
  </sheetViews>
  <sheetFormatPr defaultRowHeight="15.75"/>
  <cols>
    <col min="2" max="2" width="36" bestFit="1" customWidth="1"/>
    <col min="3" max="3" width="13.625" bestFit="1" customWidth="1"/>
    <col min="4" max="4" width="13.5" bestFit="1" customWidth="1"/>
    <col min="5" max="5" width="13.625" bestFit="1" customWidth="1"/>
  </cols>
  <sheetData>
    <row r="1" spans="2:9" ht="18" customHeight="1"/>
    <row r="2" spans="2:9">
      <c r="B2" s="223" t="s">
        <v>216</v>
      </c>
      <c r="C2" s="224" t="s">
        <v>30</v>
      </c>
      <c r="D2" s="224" t="s">
        <v>42</v>
      </c>
      <c r="E2" s="225" t="s">
        <v>217</v>
      </c>
    </row>
    <row r="3" spans="2:9">
      <c r="B3" s="226" t="s">
        <v>218</v>
      </c>
      <c r="C3" s="218">
        <v>0.28456830601092897</v>
      </c>
      <c r="D3" s="218">
        <v>0.113</v>
      </c>
      <c r="E3" s="219">
        <v>0.6</v>
      </c>
    </row>
    <row r="4" spans="2:9">
      <c r="B4" s="226" t="s">
        <v>219</v>
      </c>
      <c r="C4" s="218">
        <v>0.31680000000000003</v>
      </c>
      <c r="D4" s="220">
        <v>0.12</v>
      </c>
      <c r="E4" s="219">
        <v>0.44</v>
      </c>
    </row>
    <row r="5" spans="2:9">
      <c r="B5" s="226" t="s">
        <v>2</v>
      </c>
      <c r="C5" s="218">
        <v>0.23330896226415096</v>
      </c>
      <c r="D5" s="220">
        <v>0.12</v>
      </c>
      <c r="E5" s="219">
        <f>D5</f>
        <v>0.12</v>
      </c>
    </row>
    <row r="6" spans="2:9">
      <c r="B6" s="226" t="s">
        <v>220</v>
      </c>
      <c r="C6" s="218">
        <v>0.29117019045786852</v>
      </c>
      <c r="D6" s="218">
        <v>7.1349999999999997E-2</v>
      </c>
      <c r="E6" s="219">
        <v>0.4</v>
      </c>
    </row>
    <row r="7" spans="2:9">
      <c r="B7" s="226" t="s">
        <v>221</v>
      </c>
      <c r="C7" s="218">
        <v>0.24461763000193312</v>
      </c>
      <c r="D7" s="220">
        <v>0.12</v>
      </c>
      <c r="E7" s="219">
        <v>0.44</v>
      </c>
    </row>
    <row r="8" spans="2:9">
      <c r="B8" s="227" t="s">
        <v>222</v>
      </c>
      <c r="C8" s="221">
        <v>0.2849000192982456</v>
      </c>
      <c r="D8" s="221">
        <v>6.6710000000000005E-2</v>
      </c>
      <c r="E8" s="222">
        <v>0.28000000000000003</v>
      </c>
    </row>
    <row r="9" spans="2:9">
      <c r="B9" s="226" t="s">
        <v>223</v>
      </c>
      <c r="C9" s="218">
        <v>0.27</v>
      </c>
      <c r="D9" s="220">
        <v>0.27</v>
      </c>
      <c r="E9" s="229">
        <f>tariff[[#This Row],[Standard FiT]]</f>
        <v>0.27</v>
      </c>
    </row>
    <row r="10" spans="2:9">
      <c r="B10" s="1"/>
      <c r="C10" s="8"/>
      <c r="D10" s="8"/>
      <c r="E10" s="8"/>
      <c r="F10" s="8"/>
      <c r="G10" s="8"/>
      <c r="H10" s="8"/>
      <c r="I10" s="319"/>
    </row>
    <row r="11" spans="2:9">
      <c r="B11" s="4" t="s">
        <v>224</v>
      </c>
      <c r="C11" s="4" t="s">
        <v>2</v>
      </c>
      <c r="D11" s="4" t="s">
        <v>218</v>
      </c>
      <c r="E11" s="4" t="s">
        <v>220</v>
      </c>
      <c r="F11" s="4" t="s">
        <v>221</v>
      </c>
      <c r="G11" s="4" t="s">
        <v>222</v>
      </c>
      <c r="H11" s="4" t="s">
        <v>219</v>
      </c>
      <c r="I11" s="4" t="s">
        <v>223</v>
      </c>
    </row>
    <row r="12" spans="2:9">
      <c r="B12" s="4">
        <v>1</v>
      </c>
      <c r="C12" s="10">
        <f>3.9*365</f>
        <v>1423.5</v>
      </c>
      <c r="D12" s="10">
        <f>3.6*365</f>
        <v>1314</v>
      </c>
      <c r="E12" s="10">
        <f>4.4*365</f>
        <v>1606.0000000000002</v>
      </c>
      <c r="F12" s="10">
        <f>4.2*365</f>
        <v>1533</v>
      </c>
      <c r="G12" s="10">
        <f>3.5*365</f>
        <v>1277.5</v>
      </c>
      <c r="H12" s="10">
        <f>4.2*365</f>
        <v>1533</v>
      </c>
      <c r="I12" s="10">
        <f>4.4*365</f>
        <v>1606.0000000000002</v>
      </c>
    </row>
    <row r="13" spans="2:9">
      <c r="B13" s="98">
        <f>Inputs!B17</f>
        <v>7</v>
      </c>
      <c r="C13" s="320">
        <f t="shared" ref="C13:I13" si="0">$B$13*C12</f>
        <v>9964.5</v>
      </c>
      <c r="D13" s="320">
        <f t="shared" si="0"/>
        <v>9198</v>
      </c>
      <c r="E13" s="320">
        <f t="shared" si="0"/>
        <v>11242.000000000002</v>
      </c>
      <c r="F13" s="320">
        <f t="shared" si="0"/>
        <v>10731</v>
      </c>
      <c r="G13" s="320">
        <f t="shared" si="0"/>
        <v>8942.5</v>
      </c>
      <c r="H13" s="320">
        <f t="shared" si="0"/>
        <v>10731</v>
      </c>
      <c r="I13" s="320">
        <f t="shared" si="0"/>
        <v>11242.000000000002</v>
      </c>
    </row>
    <row r="14" spans="2:9">
      <c r="B14" s="99" t="s">
        <v>225</v>
      </c>
      <c r="C14" s="10"/>
      <c r="D14" s="10"/>
      <c r="E14" s="10"/>
      <c r="F14" s="10"/>
      <c r="G14" s="10"/>
      <c r="H14" s="10"/>
      <c r="I14" s="10"/>
    </row>
    <row r="16" spans="2:9">
      <c r="B16" t="s">
        <v>226</v>
      </c>
      <c r="C16" t="s">
        <v>34</v>
      </c>
    </row>
    <row r="17" spans="2:3">
      <c r="B17" s="10" t="s">
        <v>33</v>
      </c>
      <c r="C17" s="10">
        <v>5</v>
      </c>
    </row>
    <row r="18" spans="2:3">
      <c r="B18" s="10" t="s">
        <v>227</v>
      </c>
      <c r="C18" s="10">
        <v>15</v>
      </c>
    </row>
    <row r="19" spans="2:3">
      <c r="B19" s="10"/>
      <c r="C19" s="10"/>
    </row>
  </sheetData>
  <sheetProtection algorithmName="SHA-512" hashValue="ARiZJPP4hsqY4tKkVGPwIPZvNjzzAng4DbcObKTRRoMX4jdMq1LJG5gZwPS96oYGcmLQ3i1cSAg5Nj+EeuVWIw==" saltValue="wZw4kjPoVkol7DzBC0mgmg==" spinCount="100000" sheet="1" objects="1" scenarios="1"/>
  <hyperlinks>
    <hyperlink ref="B14" r:id="rId1" xr:uid="{00000000-0004-0000-0000-000000000000}"/>
  </hyperlinks>
  <pageMargins left="0.7" right="0.7" top="0.75" bottom="0.75" header="0.3" footer="0.3"/>
  <legacyDrawing r:id="rId2"/>
  <tableParts count="3">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DB2F4F345B3DA40B2D3D310BC592D37" ma:contentTypeVersion="10" ma:contentTypeDescription="Create a new document." ma:contentTypeScope="" ma:versionID="c844f0276d9799f7056df510164813a7">
  <xsd:schema xmlns:xsd="http://www.w3.org/2001/XMLSchema" xmlns:xs="http://www.w3.org/2001/XMLSchema" xmlns:p="http://schemas.microsoft.com/office/2006/metadata/properties" xmlns:ns2="0d1134ab-8e70-4407-b880-34a27020812d" xmlns:ns3="e270594a-e281-4376-acf4-97acc6db1039" targetNamespace="http://schemas.microsoft.com/office/2006/metadata/properties" ma:root="true" ma:fieldsID="4a58970dd64d08868cdc31e95e7eee25" ns2:_="" ns3:_="">
    <xsd:import namespace="0d1134ab-8e70-4407-b880-34a27020812d"/>
    <xsd:import namespace="e270594a-e281-4376-acf4-97acc6db103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134ab-8e70-4407-b880-34a2702081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70594a-e281-4376-acf4-97acc6db103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F0A868-56BE-4D34-B1B9-2F7600AC775F}">
  <ds:schemaRefs>
    <ds:schemaRef ds:uri="http://purl.org/dc/elements/1.1/"/>
    <ds:schemaRef ds:uri="http://schemas.microsoft.com/office/2006/documentManagement/types"/>
    <ds:schemaRef ds:uri="http://www.w3.org/XML/1998/namespace"/>
    <ds:schemaRef ds:uri="http://purl.org/dc/terms/"/>
    <ds:schemaRef ds:uri="http://schemas.microsoft.com/office/2006/metadata/properties"/>
    <ds:schemaRef ds:uri="http://schemas.openxmlformats.org/package/2006/metadata/core-properties"/>
    <ds:schemaRef ds:uri="e270594a-e281-4376-acf4-97acc6db1039"/>
    <ds:schemaRef ds:uri="http://purl.org/dc/dcmitype/"/>
    <ds:schemaRef ds:uri="http://schemas.microsoft.com/office/infopath/2007/PartnerControls"/>
    <ds:schemaRef ds:uri="0d1134ab-8e70-4407-b880-34a27020812d"/>
  </ds:schemaRefs>
</ds:datastoreItem>
</file>

<file path=customXml/itemProps2.xml><?xml version="1.0" encoding="utf-8"?>
<ds:datastoreItem xmlns:ds="http://schemas.openxmlformats.org/officeDocument/2006/customXml" ds:itemID="{75D6371B-30C2-4CEB-B833-2D5026F6E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134ab-8e70-4407-b880-34a27020812d"/>
    <ds:schemaRef ds:uri="e270594a-e281-4376-acf4-97acc6db10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65FC6F-C72E-417A-8F24-8CF01447D2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EdgeIQ Calculator</vt:lpstr>
      <vt:lpstr>Savings</vt:lpstr>
      <vt:lpstr>Inputs</vt:lpstr>
      <vt:lpstr>Power Flows</vt:lpstr>
      <vt:lpstr>Power Flows - Summary</vt:lpstr>
      <vt:lpstr>Financials</vt:lpstr>
      <vt:lpstr>Protection Calculation</vt:lpstr>
      <vt:lpstr>Profiles</vt:lpstr>
      <vt:lpstr>Reference Tables</vt:lpstr>
      <vt:lpstr>Other Tariff Sources</vt:lpstr>
      <vt:lpstr>DRM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ben-pc</dc:creator>
  <cp:keywords/>
  <dc:description/>
  <cp:lastModifiedBy>Patrick Slater</cp:lastModifiedBy>
  <cp:revision/>
  <dcterms:created xsi:type="dcterms:W3CDTF">2017-10-11T05:20:58Z</dcterms:created>
  <dcterms:modified xsi:type="dcterms:W3CDTF">2019-12-06T02:36:48Z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0x0101008DB2F4F345B3DA40B2D3D310BC592D37</vt:lpwstr>
  </property>
</Properties>
</file>